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115"/>
  </bookViews>
  <sheets>
    <sheet name="приложение_5" sheetId="13" r:id="rId1"/>
  </sheets>
  <externalReferences>
    <externalReference r:id="rId2"/>
  </externalReferences>
  <definedNames>
    <definedName name="_xlnm.Print_Titles" localSheetId="0">приложение_5!$6:$6</definedName>
    <definedName name="_xlnm.Print_Area" localSheetId="0">приложение_5!$A$1:$L$472</definedName>
  </definedNames>
  <calcPr calcId="125725"/>
</workbook>
</file>

<file path=xl/calcChain.xml><?xml version="1.0" encoding="utf-8"?>
<calcChain xmlns="http://schemas.openxmlformats.org/spreadsheetml/2006/main">
  <c r="H464" i="13"/>
  <c r="L465" l="1"/>
  <c r="K465"/>
  <c r="J468"/>
  <c r="J467"/>
  <c r="J466"/>
  <c r="J465"/>
  <c r="I466"/>
  <c r="I465"/>
  <c r="H465"/>
  <c r="E210" l="1"/>
  <c r="F212"/>
  <c r="G212" l="1"/>
  <c r="G256" l="1"/>
  <c r="I232" l="1"/>
  <c r="J232"/>
  <c r="K232"/>
  <c r="L232"/>
  <c r="I233"/>
  <c r="J233"/>
  <c r="K233"/>
  <c r="L233"/>
  <c r="H233"/>
  <c r="H232"/>
  <c r="J252"/>
  <c r="K252"/>
  <c r="L252"/>
  <c r="I252"/>
  <c r="H258"/>
  <c r="N258" s="1"/>
  <c r="H259"/>
  <c r="N259" s="1"/>
  <c r="I88"/>
  <c r="J88"/>
  <c r="K88"/>
  <c r="K470" s="1"/>
  <c r="L88"/>
  <c r="L470" s="1"/>
  <c r="I89"/>
  <c r="J89"/>
  <c r="K89"/>
  <c r="K471" s="1"/>
  <c r="L89"/>
  <c r="L471" s="1"/>
  <c r="L218"/>
  <c r="J218"/>
  <c r="K218"/>
  <c r="I218"/>
  <c r="H224"/>
  <c r="H225"/>
  <c r="F256"/>
  <c r="I470" l="1"/>
  <c r="N470" s="1"/>
  <c r="I471"/>
  <c r="N471" s="1"/>
  <c r="J471"/>
  <c r="J470"/>
  <c r="H252"/>
  <c r="H218"/>
  <c r="H215" l="1"/>
  <c r="L210"/>
  <c r="J210"/>
  <c r="I210"/>
  <c r="H217"/>
  <c r="H89" s="1"/>
  <c r="H471" s="1"/>
  <c r="O471" s="1"/>
  <c r="H216"/>
  <c r="H88" s="1"/>
  <c r="H470" s="1"/>
  <c r="O470" s="1"/>
  <c r="N212"/>
  <c r="K212"/>
  <c r="K210" s="1"/>
  <c r="H210" l="1"/>
  <c r="W211" s="1"/>
  <c r="H463"/>
  <c r="N463" s="1"/>
  <c r="H462"/>
  <c r="N462" s="1"/>
  <c r="H461"/>
  <c r="N461" s="1"/>
  <c r="H460"/>
  <c r="N460" s="1"/>
  <c r="H459"/>
  <c r="N459" s="1"/>
  <c r="N458" s="1"/>
  <c r="L458"/>
  <c r="K458"/>
  <c r="J458"/>
  <c r="I458"/>
  <c r="H458" s="1"/>
  <c r="G459" s="1"/>
  <c r="N457"/>
  <c r="H457"/>
  <c r="H456"/>
  <c r="N456"/>
  <c r="N455"/>
  <c r="H455"/>
  <c r="H454"/>
  <c r="N454"/>
  <c r="F454"/>
  <c r="H453"/>
  <c r="N453" s="1"/>
  <c r="F453"/>
  <c r="L452"/>
  <c r="L446" s="1"/>
  <c r="K452"/>
  <c r="K446" s="1"/>
  <c r="J452"/>
  <c r="I452"/>
  <c r="L451"/>
  <c r="K451"/>
  <c r="J451"/>
  <c r="I451"/>
  <c r="L450"/>
  <c r="K450"/>
  <c r="J450"/>
  <c r="I450"/>
  <c r="L449"/>
  <c r="K449"/>
  <c r="J449"/>
  <c r="I449"/>
  <c r="H449"/>
  <c r="N449" s="1"/>
  <c r="L448"/>
  <c r="K448"/>
  <c r="J448"/>
  <c r="I448"/>
  <c r="L447"/>
  <c r="K447"/>
  <c r="J447"/>
  <c r="I447"/>
  <c r="H445"/>
  <c r="N445" s="1"/>
  <c r="H444"/>
  <c r="W444" s="1"/>
  <c r="H443"/>
  <c r="W443" s="1"/>
  <c r="F443"/>
  <c r="G443" s="1"/>
  <c r="H442"/>
  <c r="W442" s="1"/>
  <c r="G442"/>
  <c r="H441"/>
  <c r="W441" s="1"/>
  <c r="L440"/>
  <c r="K440"/>
  <c r="H440" s="1"/>
  <c r="J440"/>
  <c r="I440"/>
  <c r="H439"/>
  <c r="W439" s="1"/>
  <c r="W438"/>
  <c r="H438"/>
  <c r="N438" s="1"/>
  <c r="H437"/>
  <c r="N437" s="1"/>
  <c r="F437"/>
  <c r="H436"/>
  <c r="H435"/>
  <c r="W435" s="1"/>
  <c r="G435"/>
  <c r="L434"/>
  <c r="K434"/>
  <c r="J434"/>
  <c r="I434"/>
  <c r="H433"/>
  <c r="N433" s="1"/>
  <c r="W432"/>
  <c r="H432"/>
  <c r="N432" s="1"/>
  <c r="N431"/>
  <c r="H431"/>
  <c r="W431" s="1"/>
  <c r="W430"/>
  <c r="H430"/>
  <c r="N430" s="1"/>
  <c r="H429"/>
  <c r="W429" s="1"/>
  <c r="G429"/>
  <c r="L428"/>
  <c r="K428"/>
  <c r="J428"/>
  <c r="I428"/>
  <c r="H428" s="1"/>
  <c r="G432" s="1"/>
  <c r="H427"/>
  <c r="W427" s="1"/>
  <c r="H426"/>
  <c r="W426" s="1"/>
  <c r="N425"/>
  <c r="H425"/>
  <c r="W425" s="1"/>
  <c r="H424"/>
  <c r="N424" s="1"/>
  <c r="H423"/>
  <c r="W423" s="1"/>
  <c r="G423"/>
  <c r="L422"/>
  <c r="K422"/>
  <c r="J422"/>
  <c r="I422"/>
  <c r="H421"/>
  <c r="N421" s="1"/>
  <c r="H420"/>
  <c r="N420" s="1"/>
  <c r="H419"/>
  <c r="N419" s="1"/>
  <c r="H418"/>
  <c r="N418" s="1"/>
  <c r="H417"/>
  <c r="N417" s="1"/>
  <c r="N416" s="1"/>
  <c r="L416"/>
  <c r="K416"/>
  <c r="J416"/>
  <c r="I416"/>
  <c r="H416" s="1"/>
  <c r="G418" s="1"/>
  <c r="H415"/>
  <c r="N415" s="1"/>
  <c r="X414"/>
  <c r="Z414" s="1"/>
  <c r="H414"/>
  <c r="N414" s="1"/>
  <c r="X413"/>
  <c r="Y413" s="1"/>
  <c r="Y414" s="1"/>
  <c r="H413"/>
  <c r="N413" s="1"/>
  <c r="H412"/>
  <c r="N412" s="1"/>
  <c r="H411"/>
  <c r="W411" s="1"/>
  <c r="F411"/>
  <c r="L410"/>
  <c r="K410"/>
  <c r="J410"/>
  <c r="I410"/>
  <c r="H410" s="1"/>
  <c r="G412" s="1"/>
  <c r="H409"/>
  <c r="W409" s="1"/>
  <c r="H408"/>
  <c r="H407"/>
  <c r="N407" s="1"/>
  <c r="N406"/>
  <c r="H406"/>
  <c r="W406" s="1"/>
  <c r="H405"/>
  <c r="W405" s="1"/>
  <c r="L404"/>
  <c r="K404"/>
  <c r="J404"/>
  <c r="I404"/>
  <c r="H403"/>
  <c r="W403" s="1"/>
  <c r="H402"/>
  <c r="N402" s="1"/>
  <c r="N401"/>
  <c r="H401"/>
  <c r="W401" s="1"/>
  <c r="H400"/>
  <c r="W400" s="1"/>
  <c r="H399"/>
  <c r="W399" s="1"/>
  <c r="L398"/>
  <c r="K398"/>
  <c r="J398"/>
  <c r="I398"/>
  <c r="H397"/>
  <c r="N397" s="1"/>
  <c r="H396"/>
  <c r="W396" s="1"/>
  <c r="H395"/>
  <c r="W395" s="1"/>
  <c r="W394"/>
  <c r="H394"/>
  <c r="N394" s="1"/>
  <c r="H393"/>
  <c r="N393" s="1"/>
  <c r="L392"/>
  <c r="K392"/>
  <c r="J392"/>
  <c r="I392"/>
  <c r="H391"/>
  <c r="N391" s="1"/>
  <c r="H390"/>
  <c r="N390" s="1"/>
  <c r="H389"/>
  <c r="W389" s="1"/>
  <c r="H388"/>
  <c r="W388" s="1"/>
  <c r="H387"/>
  <c r="N387" s="1"/>
  <c r="L386"/>
  <c r="K386"/>
  <c r="J386"/>
  <c r="I386"/>
  <c r="L385"/>
  <c r="H385" s="1"/>
  <c r="L384"/>
  <c r="K384"/>
  <c r="K380" s="1"/>
  <c r="H383"/>
  <c r="W383" s="1"/>
  <c r="H382"/>
  <c r="W382" s="1"/>
  <c r="H381"/>
  <c r="W381" s="1"/>
  <c r="J380"/>
  <c r="I380"/>
  <c r="H379"/>
  <c r="W379" s="1"/>
  <c r="H378"/>
  <c r="N378" s="1"/>
  <c r="H377"/>
  <c r="W377" s="1"/>
  <c r="H376"/>
  <c r="W376" s="1"/>
  <c r="H375"/>
  <c r="N375" s="1"/>
  <c r="L374"/>
  <c r="K374"/>
  <c r="J374"/>
  <c r="H374" s="1"/>
  <c r="I374"/>
  <c r="H373"/>
  <c r="W373" s="1"/>
  <c r="K372"/>
  <c r="K371"/>
  <c r="H371" s="1"/>
  <c r="H370"/>
  <c r="W370" s="1"/>
  <c r="H369"/>
  <c r="W369" s="1"/>
  <c r="L368"/>
  <c r="J368"/>
  <c r="I368"/>
  <c r="H367"/>
  <c r="N367" s="1"/>
  <c r="H366"/>
  <c r="N366" s="1"/>
  <c r="H365"/>
  <c r="N365" s="1"/>
  <c r="H364"/>
  <c r="N364" s="1"/>
  <c r="H363"/>
  <c r="N363" s="1"/>
  <c r="L362"/>
  <c r="K362"/>
  <c r="J362"/>
  <c r="I362"/>
  <c r="H361"/>
  <c r="N361" s="1"/>
  <c r="H360"/>
  <c r="N360" s="1"/>
  <c r="H359"/>
  <c r="N359" s="1"/>
  <c r="H358"/>
  <c r="N358" s="1"/>
  <c r="H357"/>
  <c r="N357" s="1"/>
  <c r="L356"/>
  <c r="K356"/>
  <c r="J356"/>
  <c r="I356"/>
  <c r="E356"/>
  <c r="H355"/>
  <c r="N355" s="1"/>
  <c r="H354"/>
  <c r="N354" s="1"/>
  <c r="H353"/>
  <c r="N353" s="1"/>
  <c r="H352"/>
  <c r="N352"/>
  <c r="H351"/>
  <c r="N351" s="1"/>
  <c r="L350"/>
  <c r="K350"/>
  <c r="J350"/>
  <c r="J332" s="1"/>
  <c r="I350"/>
  <c r="H349"/>
  <c r="N349" s="1"/>
  <c r="H348"/>
  <c r="N348"/>
  <c r="H347"/>
  <c r="N347" s="1"/>
  <c r="H346"/>
  <c r="N346" s="1"/>
  <c r="H345"/>
  <c r="N345" s="1"/>
  <c r="L344"/>
  <c r="K344"/>
  <c r="J344"/>
  <c r="I344"/>
  <c r="H343"/>
  <c r="N343" s="1"/>
  <c r="H342"/>
  <c r="N342" s="1"/>
  <c r="F342"/>
  <c r="H341"/>
  <c r="N341" s="1"/>
  <c r="F341"/>
  <c r="H340"/>
  <c r="N340" s="1"/>
  <c r="F340"/>
  <c r="H339"/>
  <c r="N339" s="1"/>
  <c r="F339"/>
  <c r="L338"/>
  <c r="K338"/>
  <c r="J338"/>
  <c r="I338"/>
  <c r="I332" s="1"/>
  <c r="K337"/>
  <c r="J337"/>
  <c r="I337"/>
  <c r="L336"/>
  <c r="J336"/>
  <c r="I336"/>
  <c r="L335"/>
  <c r="J335"/>
  <c r="I335"/>
  <c r="L334"/>
  <c r="K334"/>
  <c r="J334"/>
  <c r="I334"/>
  <c r="L333"/>
  <c r="K333"/>
  <c r="J333"/>
  <c r="I333"/>
  <c r="H331"/>
  <c r="H330"/>
  <c r="H329"/>
  <c r="H328"/>
  <c r="H326" s="1"/>
  <c r="H327"/>
  <c r="L326"/>
  <c r="K326"/>
  <c r="J326"/>
  <c r="I326"/>
  <c r="H325"/>
  <c r="H319" s="1"/>
  <c r="G325"/>
  <c r="G319" s="1"/>
  <c r="H324"/>
  <c r="H318" s="1"/>
  <c r="G324"/>
  <c r="H323"/>
  <c r="N323" s="1"/>
  <c r="H322"/>
  <c r="N322" s="1"/>
  <c r="H321"/>
  <c r="N321" s="1"/>
  <c r="L320"/>
  <c r="L314" s="1"/>
  <c r="K320"/>
  <c r="K314" s="1"/>
  <c r="J320"/>
  <c r="J314" s="1"/>
  <c r="I320"/>
  <c r="L319"/>
  <c r="K319"/>
  <c r="J319"/>
  <c r="I319"/>
  <c r="F319"/>
  <c r="L318"/>
  <c r="K318"/>
  <c r="J318"/>
  <c r="I318"/>
  <c r="G318"/>
  <c r="F318"/>
  <c r="L317"/>
  <c r="K317"/>
  <c r="J317"/>
  <c r="I317"/>
  <c r="L316"/>
  <c r="K316"/>
  <c r="J316"/>
  <c r="I316"/>
  <c r="G316"/>
  <c r="F316"/>
  <c r="L315"/>
  <c r="K315"/>
  <c r="J315"/>
  <c r="I315"/>
  <c r="G315"/>
  <c r="F315"/>
  <c r="H313"/>
  <c r="N313" s="1"/>
  <c r="K312"/>
  <c r="H311"/>
  <c r="N311" s="1"/>
  <c r="H310"/>
  <c r="N310" s="1"/>
  <c r="H309"/>
  <c r="N309" s="1"/>
  <c r="L308"/>
  <c r="J308"/>
  <c r="I308"/>
  <c r="H307"/>
  <c r="N307" s="1"/>
  <c r="H306"/>
  <c r="N306" s="1"/>
  <c r="H305"/>
  <c r="N305"/>
  <c r="H304"/>
  <c r="N304" s="1"/>
  <c r="G304"/>
  <c r="F304"/>
  <c r="E302" s="1"/>
  <c r="H303"/>
  <c r="N303" s="1"/>
  <c r="N302" s="1"/>
  <c r="F303"/>
  <c r="L302"/>
  <c r="K302"/>
  <c r="J302"/>
  <c r="I302"/>
  <c r="H301"/>
  <c r="N301" s="1"/>
  <c r="H300"/>
  <c r="N300" s="1"/>
  <c r="H299"/>
  <c r="N299" s="1"/>
  <c r="H298"/>
  <c r="N298" s="1"/>
  <c r="F298"/>
  <c r="H297"/>
  <c r="N297" s="1"/>
  <c r="L296"/>
  <c r="K296"/>
  <c r="J296"/>
  <c r="I296"/>
  <c r="H296" s="1"/>
  <c r="E296"/>
  <c r="I295"/>
  <c r="I290" s="1"/>
  <c r="H294"/>
  <c r="N294" s="1"/>
  <c r="H293"/>
  <c r="N293" s="1"/>
  <c r="H292"/>
  <c r="N292" s="1"/>
  <c r="F292"/>
  <c r="H291"/>
  <c r="N291" s="1"/>
  <c r="F291"/>
  <c r="L290"/>
  <c r="K290"/>
  <c r="J290"/>
  <c r="N289"/>
  <c r="H289"/>
  <c r="H288"/>
  <c r="N288" s="1"/>
  <c r="N287"/>
  <c r="H287"/>
  <c r="H286"/>
  <c r="N286" s="1"/>
  <c r="F286"/>
  <c r="H285"/>
  <c r="N285" s="1"/>
  <c r="F285"/>
  <c r="L284"/>
  <c r="K284"/>
  <c r="K278" s="1"/>
  <c r="J284"/>
  <c r="J278" s="1"/>
  <c r="I284"/>
  <c r="L283"/>
  <c r="K283"/>
  <c r="J283"/>
  <c r="L282"/>
  <c r="J282"/>
  <c r="I282"/>
  <c r="L281"/>
  <c r="K281"/>
  <c r="J281"/>
  <c r="I281"/>
  <c r="L280"/>
  <c r="K280"/>
  <c r="J280"/>
  <c r="I280"/>
  <c r="L279"/>
  <c r="K279"/>
  <c r="J279"/>
  <c r="I279"/>
  <c r="H277"/>
  <c r="N277" s="1"/>
  <c r="H276"/>
  <c r="N276" s="1"/>
  <c r="H275"/>
  <c r="N275" s="1"/>
  <c r="H274"/>
  <c r="N274" s="1"/>
  <c r="H273"/>
  <c r="N273" s="1"/>
  <c r="L272"/>
  <c r="K272"/>
  <c r="J272"/>
  <c r="H272" s="1"/>
  <c r="G273" s="1"/>
  <c r="I272"/>
  <c r="H271"/>
  <c r="N271" s="1"/>
  <c r="H270"/>
  <c r="N270" s="1"/>
  <c r="H269"/>
  <c r="N269" s="1"/>
  <c r="V268"/>
  <c r="H268"/>
  <c r="N268" s="1"/>
  <c r="F268"/>
  <c r="V267"/>
  <c r="H267"/>
  <c r="F267"/>
  <c r="L266"/>
  <c r="K266"/>
  <c r="J266"/>
  <c r="I266"/>
  <c r="H265"/>
  <c r="N265" s="1"/>
  <c r="H264"/>
  <c r="N264" s="1"/>
  <c r="H263"/>
  <c r="N263" s="1"/>
  <c r="V262"/>
  <c r="H262"/>
  <c r="N262" s="1"/>
  <c r="F262"/>
  <c r="V261"/>
  <c r="H261"/>
  <c r="N261" s="1"/>
  <c r="F261"/>
  <c r="L260"/>
  <c r="K260"/>
  <c r="J260"/>
  <c r="I260"/>
  <c r="H257"/>
  <c r="N257" s="1"/>
  <c r="H256"/>
  <c r="H255"/>
  <c r="N255" s="1"/>
  <c r="F255"/>
  <c r="H254"/>
  <c r="N254" s="1"/>
  <c r="F254"/>
  <c r="H253"/>
  <c r="N253" s="1"/>
  <c r="F253"/>
  <c r="H251"/>
  <c r="N251" s="1"/>
  <c r="H250"/>
  <c r="N250" s="1"/>
  <c r="H249"/>
  <c r="N249" s="1"/>
  <c r="H248"/>
  <c r="N248" s="1"/>
  <c r="H247"/>
  <c r="N247" s="1"/>
  <c r="L246"/>
  <c r="K246"/>
  <c r="J246"/>
  <c r="I246"/>
  <c r="H246" s="1"/>
  <c r="G247" s="1"/>
  <c r="F247" s="1"/>
  <c r="H245"/>
  <c r="N245" s="1"/>
  <c r="H244"/>
  <c r="N244" s="1"/>
  <c r="H243"/>
  <c r="N243" s="1"/>
  <c r="H242"/>
  <c r="N242" s="1"/>
  <c r="H241"/>
  <c r="N241" s="1"/>
  <c r="L240"/>
  <c r="K240"/>
  <c r="J240"/>
  <c r="I240"/>
  <c r="H239"/>
  <c r="N239" s="1"/>
  <c r="H238"/>
  <c r="N238" s="1"/>
  <c r="H237"/>
  <c r="N237" s="1"/>
  <c r="H236"/>
  <c r="N236" s="1"/>
  <c r="H235"/>
  <c r="N235" s="1"/>
  <c r="L234"/>
  <c r="K234"/>
  <c r="J234"/>
  <c r="I234"/>
  <c r="I226" s="1"/>
  <c r="L231"/>
  <c r="K231"/>
  <c r="J231"/>
  <c r="I231"/>
  <c r="L230"/>
  <c r="K230"/>
  <c r="J230"/>
  <c r="I230"/>
  <c r="L229"/>
  <c r="K229"/>
  <c r="J229"/>
  <c r="I229"/>
  <c r="L228"/>
  <c r="K228"/>
  <c r="J228"/>
  <c r="I228"/>
  <c r="L227"/>
  <c r="K227"/>
  <c r="J227"/>
  <c r="I227"/>
  <c r="H223"/>
  <c r="H222"/>
  <c r="G223" s="1"/>
  <c r="F222"/>
  <c r="H221"/>
  <c r="H220"/>
  <c r="G220"/>
  <c r="G221" s="1"/>
  <c r="F220"/>
  <c r="F221" s="1"/>
  <c r="H219"/>
  <c r="H214"/>
  <c r="W215" s="1"/>
  <c r="H213"/>
  <c r="W214" s="1"/>
  <c r="H212"/>
  <c r="G213" s="1"/>
  <c r="H211"/>
  <c r="W212" s="1"/>
  <c r="H209"/>
  <c r="N209" s="1"/>
  <c r="H208"/>
  <c r="N208" s="1"/>
  <c r="H207"/>
  <c r="N207" s="1"/>
  <c r="H206"/>
  <c r="N206" s="1"/>
  <c r="F206"/>
  <c r="H205"/>
  <c r="N205" s="1"/>
  <c r="F205"/>
  <c r="L204"/>
  <c r="K204"/>
  <c r="J204"/>
  <c r="I204"/>
  <c r="H203"/>
  <c r="N203" s="1"/>
  <c r="H202"/>
  <c r="N202" s="1"/>
  <c r="H201"/>
  <c r="N201" s="1"/>
  <c r="H200"/>
  <c r="N200" s="1"/>
  <c r="F200"/>
  <c r="H199"/>
  <c r="N199" s="1"/>
  <c r="F199"/>
  <c r="L198"/>
  <c r="K198"/>
  <c r="J198"/>
  <c r="I198"/>
  <c r="H197"/>
  <c r="N197" s="1"/>
  <c r="H196"/>
  <c r="N196" s="1"/>
  <c r="H195"/>
  <c r="N195" s="1"/>
  <c r="H194"/>
  <c r="H193"/>
  <c r="N193" s="1"/>
  <c r="L192"/>
  <c r="K192"/>
  <c r="J192"/>
  <c r="I192"/>
  <c r="H191"/>
  <c r="N191" s="1"/>
  <c r="H190"/>
  <c r="N190" s="1"/>
  <c r="H189"/>
  <c r="N189" s="1"/>
  <c r="H188"/>
  <c r="N188" s="1"/>
  <c r="F188"/>
  <c r="H187"/>
  <c r="N187" s="1"/>
  <c r="F187"/>
  <c r="L186"/>
  <c r="K186"/>
  <c r="J186"/>
  <c r="H186" s="1"/>
  <c r="G189" s="1"/>
  <c r="I186"/>
  <c r="H185"/>
  <c r="N185" s="1"/>
  <c r="H184"/>
  <c r="N184" s="1"/>
  <c r="H183"/>
  <c r="N183" s="1"/>
  <c r="H182"/>
  <c r="N182" s="1"/>
  <c r="F182"/>
  <c r="H181"/>
  <c r="N181" s="1"/>
  <c r="F181"/>
  <c r="L180"/>
  <c r="K180"/>
  <c r="J180"/>
  <c r="I180"/>
  <c r="H179"/>
  <c r="N179" s="1"/>
  <c r="H178"/>
  <c r="N178" s="1"/>
  <c r="H177"/>
  <c r="N177" s="1"/>
  <c r="H176"/>
  <c r="N176" s="1"/>
  <c r="F176"/>
  <c r="H175"/>
  <c r="N175" s="1"/>
  <c r="F175"/>
  <c r="L174"/>
  <c r="K174"/>
  <c r="J174"/>
  <c r="I174"/>
  <c r="H173"/>
  <c r="N173" s="1"/>
  <c r="H172"/>
  <c r="N172" s="1"/>
  <c r="H171"/>
  <c r="N171" s="1"/>
  <c r="H170"/>
  <c r="N170" s="1"/>
  <c r="H169"/>
  <c r="N169" s="1"/>
  <c r="L168"/>
  <c r="K168"/>
  <c r="J168"/>
  <c r="I168"/>
  <c r="T167"/>
  <c r="H167"/>
  <c r="N167" s="1"/>
  <c r="H166"/>
  <c r="N166" s="1"/>
  <c r="H165"/>
  <c r="N165" s="1"/>
  <c r="H164"/>
  <c r="N164" s="1"/>
  <c r="H163"/>
  <c r="N163" s="1"/>
  <c r="L162"/>
  <c r="K162"/>
  <c r="J162"/>
  <c r="I162"/>
  <c r="H161"/>
  <c r="N161" s="1"/>
  <c r="H160"/>
  <c r="N160" s="1"/>
  <c r="H159"/>
  <c r="N159" s="1"/>
  <c r="H158"/>
  <c r="N158" s="1"/>
  <c r="F158"/>
  <c r="H157"/>
  <c r="N157" s="1"/>
  <c r="F157"/>
  <c r="L156"/>
  <c r="K156"/>
  <c r="J156"/>
  <c r="I156"/>
  <c r="H155"/>
  <c r="N155" s="1"/>
  <c r="H154"/>
  <c r="N154" s="1"/>
  <c r="H153"/>
  <c r="N153" s="1"/>
  <c r="H152"/>
  <c r="N152" s="1"/>
  <c r="F152"/>
  <c r="N151"/>
  <c r="H151"/>
  <c r="F151"/>
  <c r="L150"/>
  <c r="K150"/>
  <c r="J150"/>
  <c r="I150"/>
  <c r="H149"/>
  <c r="N149" s="1"/>
  <c r="H148"/>
  <c r="N148" s="1"/>
  <c r="H147"/>
  <c r="N147" s="1"/>
  <c r="H146"/>
  <c r="N146" s="1"/>
  <c r="F146"/>
  <c r="H145"/>
  <c r="N145" s="1"/>
  <c r="F145"/>
  <c r="L144"/>
  <c r="K144"/>
  <c r="J144"/>
  <c r="I144"/>
  <c r="H143"/>
  <c r="N143" s="1"/>
  <c r="H142"/>
  <c r="N142" s="1"/>
  <c r="H141"/>
  <c r="N141" s="1"/>
  <c r="H140"/>
  <c r="N140" s="1"/>
  <c r="H139"/>
  <c r="N139" s="1"/>
  <c r="L138"/>
  <c r="K138"/>
  <c r="J138"/>
  <c r="I138"/>
  <c r="H137"/>
  <c r="N137" s="1"/>
  <c r="H136"/>
  <c r="N136" s="1"/>
  <c r="H135"/>
  <c r="N135" s="1"/>
  <c r="H134"/>
  <c r="N134" s="1"/>
  <c r="F134"/>
  <c r="H133"/>
  <c r="N133" s="1"/>
  <c r="F133"/>
  <c r="L132"/>
  <c r="K132"/>
  <c r="J132"/>
  <c r="I132"/>
  <c r="H131"/>
  <c r="N131" s="1"/>
  <c r="N130"/>
  <c r="H130"/>
  <c r="H129"/>
  <c r="N129" s="1"/>
  <c r="H128"/>
  <c r="N128" s="1"/>
  <c r="F128"/>
  <c r="H127"/>
  <c r="N127" s="1"/>
  <c r="F127"/>
  <c r="L126"/>
  <c r="K126"/>
  <c r="J126"/>
  <c r="I126"/>
  <c r="H125"/>
  <c r="N125" s="1"/>
  <c r="H124"/>
  <c r="N124" s="1"/>
  <c r="H123"/>
  <c r="N123" s="1"/>
  <c r="H122"/>
  <c r="N122"/>
  <c r="H121"/>
  <c r="G122" s="1"/>
  <c r="L120"/>
  <c r="K120"/>
  <c r="J120"/>
  <c r="I120"/>
  <c r="H119"/>
  <c r="N119" s="1"/>
  <c r="H118"/>
  <c r="N118" s="1"/>
  <c r="H117"/>
  <c r="N117" s="1"/>
  <c r="H116"/>
  <c r="N116" s="1"/>
  <c r="F116"/>
  <c r="N115"/>
  <c r="H115"/>
  <c r="F115"/>
  <c r="L114"/>
  <c r="K114"/>
  <c r="J114"/>
  <c r="I114"/>
  <c r="H114" s="1"/>
  <c r="G117" s="1"/>
  <c r="N113"/>
  <c r="H113"/>
  <c r="H112"/>
  <c r="N112" s="1"/>
  <c r="H111"/>
  <c r="N111" s="1"/>
  <c r="H110"/>
  <c r="N110" s="1"/>
  <c r="F110"/>
  <c r="H109"/>
  <c r="N109" s="1"/>
  <c r="F109"/>
  <c r="L108"/>
  <c r="K108"/>
  <c r="J108"/>
  <c r="I108"/>
  <c r="H107"/>
  <c r="N107" s="1"/>
  <c r="H106"/>
  <c r="N106" s="1"/>
  <c r="H105"/>
  <c r="N105" s="1"/>
  <c r="H104"/>
  <c r="N104" s="1"/>
  <c r="H103"/>
  <c r="N103" s="1"/>
  <c r="L102"/>
  <c r="K102"/>
  <c r="J102"/>
  <c r="I102"/>
  <c r="H101"/>
  <c r="N101" s="1"/>
  <c r="H100"/>
  <c r="N100" s="1"/>
  <c r="N99"/>
  <c r="H99"/>
  <c r="H98"/>
  <c r="N98" s="1"/>
  <c r="H97"/>
  <c r="L96"/>
  <c r="K96"/>
  <c r="J96"/>
  <c r="I96"/>
  <c r="I82" s="1"/>
  <c r="H95"/>
  <c r="N95" s="1"/>
  <c r="H94"/>
  <c r="H93"/>
  <c r="H92"/>
  <c r="N92" s="1"/>
  <c r="F92"/>
  <c r="H91"/>
  <c r="N91" s="1"/>
  <c r="F91"/>
  <c r="L90"/>
  <c r="K90"/>
  <c r="H90" s="1"/>
  <c r="G93" s="1"/>
  <c r="J90"/>
  <c r="I90"/>
  <c r="L87"/>
  <c r="K87"/>
  <c r="J87"/>
  <c r="I87"/>
  <c r="L86"/>
  <c r="K86"/>
  <c r="J86"/>
  <c r="I86"/>
  <c r="L85"/>
  <c r="K85"/>
  <c r="J85"/>
  <c r="I85"/>
  <c r="L84"/>
  <c r="K84"/>
  <c r="J84"/>
  <c r="I84"/>
  <c r="L83"/>
  <c r="K83"/>
  <c r="J83"/>
  <c r="I83"/>
  <c r="H80"/>
  <c r="N80" s="1"/>
  <c r="F80"/>
  <c r="H79"/>
  <c r="N79" s="1"/>
  <c r="F79"/>
  <c r="H78"/>
  <c r="N78" s="1"/>
  <c r="F78"/>
  <c r="H77"/>
  <c r="N77" s="1"/>
  <c r="F77"/>
  <c r="H76"/>
  <c r="N76" s="1"/>
  <c r="F76"/>
  <c r="L75"/>
  <c r="K75"/>
  <c r="J75"/>
  <c r="H75" s="1"/>
  <c r="I75"/>
  <c r="H74"/>
  <c r="H73"/>
  <c r="H72"/>
  <c r="N72" s="1"/>
  <c r="H71"/>
  <c r="N71" s="1"/>
  <c r="H70"/>
  <c r="L69"/>
  <c r="L63"/>
  <c r="K69"/>
  <c r="K63" s="1"/>
  <c r="J69"/>
  <c r="J63" s="1"/>
  <c r="I69"/>
  <c r="H69" s="1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H62"/>
  <c r="H50" s="1"/>
  <c r="N50" s="1"/>
  <c r="H61"/>
  <c r="H60"/>
  <c r="H59"/>
  <c r="H47" s="1"/>
  <c r="N47" s="1"/>
  <c r="H58"/>
  <c r="G58" s="1"/>
  <c r="L57"/>
  <c r="K57"/>
  <c r="J57"/>
  <c r="I57"/>
  <c r="H56"/>
  <c r="N56" s="1"/>
  <c r="N55"/>
  <c r="H55"/>
  <c r="H54"/>
  <c r="N54" s="1"/>
  <c r="G54"/>
  <c r="F54" s="1"/>
  <c r="H53"/>
  <c r="N53" s="1"/>
  <c r="F53"/>
  <c r="H52"/>
  <c r="N52" s="1"/>
  <c r="F52"/>
  <c r="L51"/>
  <c r="L45" s="1"/>
  <c r="K51"/>
  <c r="J51"/>
  <c r="I51"/>
  <c r="H51" s="1"/>
  <c r="G55" s="1"/>
  <c r="L50"/>
  <c r="K50"/>
  <c r="J50"/>
  <c r="I50"/>
  <c r="L49"/>
  <c r="K49"/>
  <c r="J49"/>
  <c r="I49"/>
  <c r="L48"/>
  <c r="K48"/>
  <c r="J48"/>
  <c r="I48"/>
  <c r="L47"/>
  <c r="K47"/>
  <c r="J47"/>
  <c r="I47"/>
  <c r="L46"/>
  <c r="K46"/>
  <c r="J46"/>
  <c r="I46"/>
  <c r="K45"/>
  <c r="H44"/>
  <c r="H38" s="1"/>
  <c r="N38" s="1"/>
  <c r="H43"/>
  <c r="H37" s="1"/>
  <c r="N37" s="1"/>
  <c r="H42"/>
  <c r="H36" s="1"/>
  <c r="N36" s="1"/>
  <c r="H41"/>
  <c r="H35" s="1"/>
  <c r="N35" s="1"/>
  <c r="H40"/>
  <c r="H34" s="1"/>
  <c r="N34" s="1"/>
  <c r="L39"/>
  <c r="L33" s="1"/>
  <c r="K39"/>
  <c r="K33" s="1"/>
  <c r="J39"/>
  <c r="I39"/>
  <c r="I33" s="1"/>
  <c r="L38"/>
  <c r="K38"/>
  <c r="J38"/>
  <c r="I38"/>
  <c r="L37"/>
  <c r="K37"/>
  <c r="J37"/>
  <c r="I37"/>
  <c r="L36"/>
  <c r="K36"/>
  <c r="J36"/>
  <c r="I36"/>
  <c r="L35"/>
  <c r="K35"/>
  <c r="J35"/>
  <c r="I35"/>
  <c r="L34"/>
  <c r="K34"/>
  <c r="J34"/>
  <c r="I34"/>
  <c r="J33"/>
  <c r="L32"/>
  <c r="L469" s="1"/>
  <c r="K32"/>
  <c r="K469" s="1"/>
  <c r="J32"/>
  <c r="I32"/>
  <c r="I469" s="1"/>
  <c r="L31"/>
  <c r="L468" s="1"/>
  <c r="K31"/>
  <c r="K468" s="1"/>
  <c r="I31"/>
  <c r="I468" s="1"/>
  <c r="L30"/>
  <c r="L467" s="1"/>
  <c r="K30"/>
  <c r="K467" s="1"/>
  <c r="I30"/>
  <c r="I467" s="1"/>
  <c r="L29"/>
  <c r="L466" s="1"/>
  <c r="K29"/>
  <c r="K466" s="1"/>
  <c r="N28"/>
  <c r="H28"/>
  <c r="H26"/>
  <c r="N26" s="1"/>
  <c r="H25"/>
  <c r="H19" s="1"/>
  <c r="N19" s="1"/>
  <c r="H24"/>
  <c r="N24" s="1"/>
  <c r="H23"/>
  <c r="H17" s="1"/>
  <c r="N17" s="1"/>
  <c r="H22"/>
  <c r="N22" s="1"/>
  <c r="L21"/>
  <c r="L15" s="1"/>
  <c r="K21"/>
  <c r="K15" s="1"/>
  <c r="J21"/>
  <c r="J15"/>
  <c r="I21"/>
  <c r="I15" s="1"/>
  <c r="L20"/>
  <c r="K20"/>
  <c r="J20"/>
  <c r="I20"/>
  <c r="L19"/>
  <c r="K19"/>
  <c r="J19"/>
  <c r="I19"/>
  <c r="L18"/>
  <c r="K18"/>
  <c r="J18"/>
  <c r="I18"/>
  <c r="L17"/>
  <c r="K17"/>
  <c r="J17"/>
  <c r="I17"/>
  <c r="F17"/>
  <c r="L16"/>
  <c r="K16"/>
  <c r="J16"/>
  <c r="I16"/>
  <c r="F16"/>
  <c r="H13"/>
  <c r="N13" s="1"/>
  <c r="H12"/>
  <c r="N12" s="1"/>
  <c r="H11"/>
  <c r="N11" s="1"/>
  <c r="H10"/>
  <c r="T10" s="1"/>
  <c r="T9"/>
  <c r="H9"/>
  <c r="G10" s="1"/>
  <c r="F10" s="1"/>
  <c r="F9"/>
  <c r="L8"/>
  <c r="K8"/>
  <c r="H8" s="1"/>
  <c r="G11" s="1"/>
  <c r="J8"/>
  <c r="I8"/>
  <c r="H192"/>
  <c r="H295"/>
  <c r="N295" s="1"/>
  <c r="H356"/>
  <c r="G357" s="1"/>
  <c r="G358" s="1"/>
  <c r="H448"/>
  <c r="N448" s="1"/>
  <c r="N121"/>
  <c r="I283"/>
  <c r="W378"/>
  <c r="W390"/>
  <c r="W407"/>
  <c r="W419"/>
  <c r="J82"/>
  <c r="N40"/>
  <c r="N44"/>
  <c r="L337"/>
  <c r="N400"/>
  <c r="N405"/>
  <c r="W414"/>
  <c r="W437"/>
  <c r="F438" s="1"/>
  <c r="F439" s="1"/>
  <c r="N444"/>
  <c r="T11"/>
  <c r="N62"/>
  <c r="H67"/>
  <c r="N67" s="1"/>
  <c r="N73"/>
  <c r="N97"/>
  <c r="I45"/>
  <c r="N61"/>
  <c r="H49"/>
  <c r="N49" s="1"/>
  <c r="H280"/>
  <c r="N280" s="1"/>
  <c r="H64"/>
  <c r="N64" s="1"/>
  <c r="N70"/>
  <c r="H68"/>
  <c r="N68" s="1"/>
  <c r="N74"/>
  <c r="N93"/>
  <c r="H46"/>
  <c r="N46" s="1"/>
  <c r="N58"/>
  <c r="N60"/>
  <c r="H48"/>
  <c r="N48" s="1"/>
  <c r="H65"/>
  <c r="N65" s="1"/>
  <c r="N94"/>
  <c r="Z413"/>
  <c r="K308"/>
  <c r="K282"/>
  <c r="H372"/>
  <c r="W372" s="1"/>
  <c r="K336"/>
  <c r="W391"/>
  <c r="W445"/>
  <c r="J446"/>
  <c r="N377"/>
  <c r="N381"/>
  <c r="N411"/>
  <c r="N423"/>
  <c r="N427"/>
  <c r="N403"/>
  <c r="N436"/>
  <c r="W436"/>
  <c r="W412"/>
  <c r="N408"/>
  <c r="W408"/>
  <c r="H312"/>
  <c r="N312" s="1"/>
  <c r="N372"/>
  <c r="J27" l="1"/>
  <c r="J464" s="1"/>
  <c r="J469"/>
  <c r="N371"/>
  <c r="W371"/>
  <c r="W368" s="1"/>
  <c r="E368" s="1"/>
  <c r="G224"/>
  <c r="F223"/>
  <c r="N399"/>
  <c r="H308"/>
  <c r="G309" s="1"/>
  <c r="F309" s="1"/>
  <c r="F279" s="1"/>
  <c r="N51"/>
  <c r="H102"/>
  <c r="H132"/>
  <c r="G135" s="1"/>
  <c r="H156"/>
  <c r="G159" s="1"/>
  <c r="F159" s="1"/>
  <c r="O314"/>
  <c r="P314" s="1"/>
  <c r="N356"/>
  <c r="H404"/>
  <c r="G405" s="1"/>
  <c r="H422"/>
  <c r="G426" s="1"/>
  <c r="G427" s="1"/>
  <c r="F427" s="1"/>
  <c r="K335"/>
  <c r="N370"/>
  <c r="W387"/>
  <c r="W375"/>
  <c r="W374" s="1"/>
  <c r="H450"/>
  <c r="N450" s="1"/>
  <c r="H180"/>
  <c r="G183" s="1"/>
  <c r="K226"/>
  <c r="L278"/>
  <c r="H344"/>
  <c r="N369"/>
  <c r="H386"/>
  <c r="H392"/>
  <c r="G214"/>
  <c r="F213"/>
  <c r="J45"/>
  <c r="N59"/>
  <c r="N57" s="1"/>
  <c r="W433"/>
  <c r="W428" s="1"/>
  <c r="H281"/>
  <c r="N281" s="1"/>
  <c r="L82"/>
  <c r="F83"/>
  <c r="H260"/>
  <c r="G263" s="1"/>
  <c r="G264" s="1"/>
  <c r="F264" s="1"/>
  <c r="G300"/>
  <c r="F300" s="1"/>
  <c r="W404"/>
  <c r="H316"/>
  <c r="H66"/>
  <c r="N66" s="1"/>
  <c r="H447"/>
  <c r="N447" s="1"/>
  <c r="N409"/>
  <c r="H334"/>
  <c r="N334" s="1"/>
  <c r="N439"/>
  <c r="H18"/>
  <c r="N18" s="1"/>
  <c r="H96"/>
  <c r="G99" s="1"/>
  <c r="G100" s="1"/>
  <c r="H144"/>
  <c r="G147" s="1"/>
  <c r="F147" s="1"/>
  <c r="H162"/>
  <c r="G163" s="1"/>
  <c r="H174"/>
  <c r="G177" s="1"/>
  <c r="H204"/>
  <c r="G207" s="1"/>
  <c r="F207" s="1"/>
  <c r="J226"/>
  <c r="L226"/>
  <c r="H302"/>
  <c r="H362"/>
  <c r="G363" s="1"/>
  <c r="G364" s="1"/>
  <c r="F364" s="1"/>
  <c r="N396"/>
  <c r="H434"/>
  <c r="G437" s="1"/>
  <c r="G438" s="1"/>
  <c r="G439" s="1"/>
  <c r="N256"/>
  <c r="N252" s="1"/>
  <c r="G257"/>
  <c r="H85"/>
  <c r="N85" s="1"/>
  <c r="V237"/>
  <c r="H86"/>
  <c r="N86" s="1"/>
  <c r="F412"/>
  <c r="G413"/>
  <c r="G433"/>
  <c r="F433" s="1"/>
  <c r="F432"/>
  <c r="G460"/>
  <c r="F459"/>
  <c r="F447" s="1"/>
  <c r="G447"/>
  <c r="G12"/>
  <c r="F11"/>
  <c r="F426"/>
  <c r="F55"/>
  <c r="G56"/>
  <c r="F56" s="1"/>
  <c r="F418"/>
  <c r="G419"/>
  <c r="G94"/>
  <c r="F93"/>
  <c r="G310"/>
  <c r="F358"/>
  <c r="G359"/>
  <c r="N90"/>
  <c r="N398"/>
  <c r="N69"/>
  <c r="N126"/>
  <c r="G46"/>
  <c r="G59"/>
  <c r="F58"/>
  <c r="N376"/>
  <c r="H320"/>
  <c r="H240"/>
  <c r="G241" s="1"/>
  <c r="G242" s="1"/>
  <c r="H452"/>
  <c r="N395"/>
  <c r="N45"/>
  <c r="H333"/>
  <c r="N333" s="1"/>
  <c r="H108"/>
  <c r="G111" s="1"/>
  <c r="H126"/>
  <c r="G129" s="1"/>
  <c r="F129" s="1"/>
  <c r="H234"/>
  <c r="G235" s="1"/>
  <c r="N435"/>
  <c r="N434" s="1"/>
  <c r="N308"/>
  <c r="G301"/>
  <c r="F301" s="1"/>
  <c r="H284"/>
  <c r="G287" s="1"/>
  <c r="W417"/>
  <c r="H279"/>
  <c r="N279" s="1"/>
  <c r="H338"/>
  <c r="W421"/>
  <c r="H39"/>
  <c r="N42"/>
  <c r="W413"/>
  <c r="W410" s="1"/>
  <c r="E410" s="1"/>
  <c r="W402"/>
  <c r="W398" s="1"/>
  <c r="H317"/>
  <c r="H283"/>
  <c r="N283" s="1"/>
  <c r="H120"/>
  <c r="H138"/>
  <c r="H198"/>
  <c r="G201" s="1"/>
  <c r="F201" s="1"/>
  <c r="N325"/>
  <c r="G343"/>
  <c r="F343" s="1"/>
  <c r="N373"/>
  <c r="N368" s="1"/>
  <c r="N382"/>
  <c r="L380"/>
  <c r="L332" s="1"/>
  <c r="N389"/>
  <c r="N404"/>
  <c r="W418"/>
  <c r="N426"/>
  <c r="N422" s="1"/>
  <c r="N429"/>
  <c r="W440"/>
  <c r="F444"/>
  <c r="I446"/>
  <c r="N108"/>
  <c r="N290"/>
  <c r="N338"/>
  <c r="N344"/>
  <c r="N392"/>
  <c r="N410"/>
  <c r="W422"/>
  <c r="H282"/>
  <c r="N282" s="1"/>
  <c r="H21"/>
  <c r="H337"/>
  <c r="N337" s="1"/>
  <c r="W393"/>
  <c r="W392" s="1"/>
  <c r="H451"/>
  <c r="N451" s="1"/>
  <c r="N446" s="1"/>
  <c r="H20"/>
  <c r="N20" s="1"/>
  <c r="H16"/>
  <c r="N16" s="1"/>
  <c r="N15" s="1"/>
  <c r="N114"/>
  <c r="H350"/>
  <c r="G351" s="1"/>
  <c r="G333" s="1"/>
  <c r="H335"/>
  <c r="N335" s="1"/>
  <c r="W385"/>
  <c r="N388"/>
  <c r="N386" s="1"/>
  <c r="W424"/>
  <c r="W397"/>
  <c r="G305"/>
  <c r="N43"/>
  <c r="H57"/>
  <c r="H45" s="1"/>
  <c r="N465"/>
  <c r="N96"/>
  <c r="N120"/>
  <c r="N144"/>
  <c r="H150"/>
  <c r="G153" s="1"/>
  <c r="G154" s="1"/>
  <c r="N150"/>
  <c r="H168"/>
  <c r="H266"/>
  <c r="G269" s="1"/>
  <c r="V269" s="1"/>
  <c r="N284"/>
  <c r="I314"/>
  <c r="H315"/>
  <c r="K368"/>
  <c r="K332" s="1"/>
  <c r="H398"/>
  <c r="W415"/>
  <c r="N452"/>
  <c r="G190"/>
  <c r="F190" s="1"/>
  <c r="F189"/>
  <c r="F183"/>
  <c r="G184"/>
  <c r="F184" s="1"/>
  <c r="V273"/>
  <c r="F273" s="1"/>
  <c r="G274"/>
  <c r="H228"/>
  <c r="N228" s="1"/>
  <c r="H230"/>
  <c r="N230" s="1"/>
  <c r="G197"/>
  <c r="H227"/>
  <c r="N227" s="1"/>
  <c r="V263"/>
  <c r="F197"/>
  <c r="V235"/>
  <c r="N156"/>
  <c r="G178"/>
  <c r="F177"/>
  <c r="F263"/>
  <c r="H231"/>
  <c r="N231" s="1"/>
  <c r="N168"/>
  <c r="N260"/>
  <c r="N267"/>
  <c r="N266" s="1"/>
  <c r="G265"/>
  <c r="H229"/>
  <c r="N229" s="1"/>
  <c r="G196"/>
  <c r="V238"/>
  <c r="N194"/>
  <c r="N192" s="1"/>
  <c r="H83"/>
  <c r="N83" s="1"/>
  <c r="V239"/>
  <c r="N162"/>
  <c r="N174"/>
  <c r="N240"/>
  <c r="N180"/>
  <c r="H87"/>
  <c r="N87" s="1"/>
  <c r="V236"/>
  <c r="N272"/>
  <c r="W213"/>
  <c r="F196"/>
  <c r="H84"/>
  <c r="N84" s="1"/>
  <c r="K82"/>
  <c r="G208"/>
  <c r="W434"/>
  <c r="N63"/>
  <c r="N33"/>
  <c r="N75"/>
  <c r="N186"/>
  <c r="N198"/>
  <c r="N296"/>
  <c r="N350"/>
  <c r="N362"/>
  <c r="W386"/>
  <c r="N428"/>
  <c r="G83"/>
  <c r="G164"/>
  <c r="T163"/>
  <c r="G70"/>
  <c r="H63"/>
  <c r="F117"/>
  <c r="G118"/>
  <c r="G136"/>
  <c r="F135"/>
  <c r="G160"/>
  <c r="G248"/>
  <c r="N234"/>
  <c r="N246"/>
  <c r="G112"/>
  <c r="F111"/>
  <c r="F122"/>
  <c r="F84" s="1"/>
  <c r="G123"/>
  <c r="G130"/>
  <c r="H290"/>
  <c r="I278"/>
  <c r="N102"/>
  <c r="N132"/>
  <c r="N138"/>
  <c r="N204"/>
  <c r="N385"/>
  <c r="T12"/>
  <c r="N9"/>
  <c r="N10"/>
  <c r="T13"/>
  <c r="T8" s="1"/>
  <c r="E8" s="1"/>
  <c r="N23"/>
  <c r="N25"/>
  <c r="I63"/>
  <c r="H31"/>
  <c r="N41"/>
  <c r="N39" s="1"/>
  <c r="N379"/>
  <c r="N374" s="1"/>
  <c r="N383"/>
  <c r="H384"/>
  <c r="W420"/>
  <c r="W416" s="1"/>
  <c r="E416" s="1"/>
  <c r="N441"/>
  <c r="N440" s="1"/>
  <c r="N442"/>
  <c r="N443"/>
  <c r="N324"/>
  <c r="I27"/>
  <c r="I464" s="1"/>
  <c r="L27"/>
  <c r="L464" s="1"/>
  <c r="H30"/>
  <c r="H467" s="1"/>
  <c r="H32"/>
  <c r="H469" s="1"/>
  <c r="K27"/>
  <c r="K464" s="1"/>
  <c r="H29"/>
  <c r="H466" s="1"/>
  <c r="N31" l="1"/>
  <c r="H468"/>
  <c r="F214"/>
  <c r="G215"/>
  <c r="F99"/>
  <c r="N320"/>
  <c r="E320" s="1"/>
  <c r="F363"/>
  <c r="F333" s="1"/>
  <c r="G148"/>
  <c r="G149" s="1"/>
  <c r="F149" s="1"/>
  <c r="V264"/>
  <c r="G279"/>
  <c r="F224"/>
  <c r="G225"/>
  <c r="K473"/>
  <c r="F153"/>
  <c r="I473"/>
  <c r="I474" s="1"/>
  <c r="N21"/>
  <c r="G352"/>
  <c r="J473"/>
  <c r="J474" s="1"/>
  <c r="L473"/>
  <c r="N466"/>
  <c r="N82"/>
  <c r="F257"/>
  <c r="G258"/>
  <c r="G202"/>
  <c r="F202" s="1"/>
  <c r="H82"/>
  <c r="P465"/>
  <c r="G270"/>
  <c r="V270" s="1"/>
  <c r="H226"/>
  <c r="N469"/>
  <c r="V241"/>
  <c r="F241" s="1"/>
  <c r="G243"/>
  <c r="V242"/>
  <c r="F242" s="1"/>
  <c r="G101"/>
  <c r="F101" s="1"/>
  <c r="F100"/>
  <c r="G22"/>
  <c r="H15"/>
  <c r="F287"/>
  <c r="G288"/>
  <c r="H446"/>
  <c r="G455"/>
  <c r="G47"/>
  <c r="G60"/>
  <c r="F445"/>
  <c r="G445" s="1"/>
  <c r="G444"/>
  <c r="G40"/>
  <c r="H33"/>
  <c r="F46"/>
  <c r="E57"/>
  <c r="G311"/>
  <c r="F310"/>
  <c r="F280" s="1"/>
  <c r="F419"/>
  <c r="G420"/>
  <c r="F460"/>
  <c r="F448" s="1"/>
  <c r="G461"/>
  <c r="G448"/>
  <c r="N278"/>
  <c r="H368"/>
  <c r="G185"/>
  <c r="F185" s="1"/>
  <c r="H380"/>
  <c r="H332" s="1"/>
  <c r="F59"/>
  <c r="F47" s="1"/>
  <c r="F305"/>
  <c r="G306"/>
  <c r="H314"/>
  <c r="G323"/>
  <c r="G95"/>
  <c r="F95" s="1"/>
  <c r="F94"/>
  <c r="G414"/>
  <c r="F413"/>
  <c r="F359"/>
  <c r="G360"/>
  <c r="G13"/>
  <c r="F13" s="1"/>
  <c r="F12"/>
  <c r="G275"/>
  <c r="V274"/>
  <c r="F274" s="1"/>
  <c r="G191"/>
  <c r="F191" s="1"/>
  <c r="V234"/>
  <c r="G179"/>
  <c r="F179" s="1"/>
  <c r="F178"/>
  <c r="N32"/>
  <c r="N468"/>
  <c r="F265"/>
  <c r="V265"/>
  <c r="N226"/>
  <c r="P466"/>
  <c r="P468"/>
  <c r="P469"/>
  <c r="P467"/>
  <c r="N467"/>
  <c r="F235"/>
  <c r="G227"/>
  <c r="G236"/>
  <c r="F136"/>
  <c r="G137"/>
  <c r="F137" s="1"/>
  <c r="F70"/>
  <c r="F64" s="1"/>
  <c r="G64"/>
  <c r="G71"/>
  <c r="F269"/>
  <c r="E266" s="1"/>
  <c r="F154"/>
  <c r="G155"/>
  <c r="F155" s="1"/>
  <c r="G292"/>
  <c r="H278"/>
  <c r="F148"/>
  <c r="N384"/>
  <c r="N380" s="1"/>
  <c r="H336"/>
  <c r="W384"/>
  <c r="W380" s="1"/>
  <c r="F123"/>
  <c r="F85" s="1"/>
  <c r="G124"/>
  <c r="F248"/>
  <c r="G249"/>
  <c r="G161"/>
  <c r="F161" s="1"/>
  <c r="F160"/>
  <c r="G84"/>
  <c r="G165"/>
  <c r="G85" s="1"/>
  <c r="T164"/>
  <c r="G370"/>
  <c r="G353"/>
  <c r="G209"/>
  <c r="F209" s="1"/>
  <c r="F208"/>
  <c r="N8"/>
  <c r="F130"/>
  <c r="G131"/>
  <c r="F131" s="1"/>
  <c r="G113"/>
  <c r="F112"/>
  <c r="G119"/>
  <c r="F119" s="1"/>
  <c r="F118"/>
  <c r="H27"/>
  <c r="N30"/>
  <c r="N29"/>
  <c r="G28" l="1"/>
  <c r="G465" s="1"/>
  <c r="F225"/>
  <c r="G216"/>
  <c r="F215"/>
  <c r="G203"/>
  <c r="F203" s="1"/>
  <c r="E90"/>
  <c r="G334"/>
  <c r="V260"/>
  <c r="Q465"/>
  <c r="G259"/>
  <c r="F258"/>
  <c r="F232" s="1"/>
  <c r="G232"/>
  <c r="F270"/>
  <c r="O469"/>
  <c r="Q467"/>
  <c r="G271"/>
  <c r="V271" s="1"/>
  <c r="V266" s="1"/>
  <c r="O467"/>
  <c r="F323"/>
  <c r="F317" s="1"/>
  <c r="G317"/>
  <c r="F420"/>
  <c r="G421"/>
  <c r="F421" s="1"/>
  <c r="G456"/>
  <c r="F455"/>
  <c r="G449"/>
  <c r="G361"/>
  <c r="F361" s="1"/>
  <c r="F360"/>
  <c r="F311"/>
  <c r="G312"/>
  <c r="G34"/>
  <c r="F40"/>
  <c r="F34" s="1"/>
  <c r="G41"/>
  <c r="G307"/>
  <c r="F307" s="1"/>
  <c r="F306"/>
  <c r="G462"/>
  <c r="F461"/>
  <c r="F60"/>
  <c r="F48" s="1"/>
  <c r="G48"/>
  <c r="G61"/>
  <c r="F288"/>
  <c r="G289"/>
  <c r="F289" s="1"/>
  <c r="G415"/>
  <c r="F415" s="1"/>
  <c r="F414"/>
  <c r="G16"/>
  <c r="G23"/>
  <c r="G244"/>
  <c r="V243"/>
  <c r="F243" s="1"/>
  <c r="O465"/>
  <c r="L474"/>
  <c r="Q469"/>
  <c r="V275"/>
  <c r="G276"/>
  <c r="K474"/>
  <c r="P464"/>
  <c r="N27"/>
  <c r="F71"/>
  <c r="F65" s="1"/>
  <c r="G72"/>
  <c r="G65"/>
  <c r="G293"/>
  <c r="G280"/>
  <c r="F227"/>
  <c r="G354"/>
  <c r="G166"/>
  <c r="T165"/>
  <c r="F249"/>
  <c r="G250"/>
  <c r="F113"/>
  <c r="F370"/>
  <c r="F334" s="1"/>
  <c r="G371"/>
  <c r="F124"/>
  <c r="G125"/>
  <c r="F125" s="1"/>
  <c r="N336"/>
  <c r="N332" s="1"/>
  <c r="H473"/>
  <c r="G237"/>
  <c r="F236"/>
  <c r="F228" s="1"/>
  <c r="G228"/>
  <c r="F86"/>
  <c r="O466"/>
  <c r="Q466"/>
  <c r="G29"/>
  <c r="G466" s="1"/>
  <c r="F28" l="1"/>
  <c r="F465" s="1"/>
  <c r="G217"/>
  <c r="F216"/>
  <c r="F88" s="1"/>
  <c r="F470" s="1"/>
  <c r="G88"/>
  <c r="G470" s="1"/>
  <c r="F271"/>
  <c r="F449"/>
  <c r="H474"/>
  <c r="F259"/>
  <c r="F233" s="1"/>
  <c r="G233"/>
  <c r="Q464"/>
  <c r="G17"/>
  <c r="G24"/>
  <c r="G35"/>
  <c r="G42"/>
  <c r="F41"/>
  <c r="F35" s="1"/>
  <c r="F456"/>
  <c r="G450"/>
  <c r="G457"/>
  <c r="G87"/>
  <c r="G245"/>
  <c r="V245" s="1"/>
  <c r="F245" s="1"/>
  <c r="V244"/>
  <c r="F244" s="1"/>
  <c r="G313"/>
  <c r="F313" s="1"/>
  <c r="F312"/>
  <c r="G49"/>
  <c r="F61"/>
  <c r="F49" s="1"/>
  <c r="G62"/>
  <c r="G463"/>
  <c r="F463" s="1"/>
  <c r="F462"/>
  <c r="F337"/>
  <c r="V276"/>
  <c r="F276" s="1"/>
  <c r="G277"/>
  <c r="V277" s="1"/>
  <c r="F277" s="1"/>
  <c r="F275"/>
  <c r="G229"/>
  <c r="G238"/>
  <c r="F237"/>
  <c r="G355"/>
  <c r="Q468"/>
  <c r="O468"/>
  <c r="G372"/>
  <c r="F371"/>
  <c r="F335" s="1"/>
  <c r="G251"/>
  <c r="F251" s="1"/>
  <c r="F250"/>
  <c r="G294"/>
  <c r="F293"/>
  <c r="F281" s="1"/>
  <c r="G281"/>
  <c r="G335"/>
  <c r="T166"/>
  <c r="T162" s="1"/>
  <c r="G86"/>
  <c r="G73"/>
  <c r="F72"/>
  <c r="F66" s="1"/>
  <c r="G66"/>
  <c r="F87"/>
  <c r="G30"/>
  <c r="G467" s="1"/>
  <c r="F29"/>
  <c r="F466" s="1"/>
  <c r="F450" l="1"/>
  <c r="F217"/>
  <c r="F89" s="1"/>
  <c r="F471" s="1"/>
  <c r="G89"/>
  <c r="G471" s="1"/>
  <c r="F229"/>
  <c r="G451"/>
  <c r="F457"/>
  <c r="F451" s="1"/>
  <c r="G25"/>
  <c r="G18"/>
  <c r="F24"/>
  <c r="F18" s="1"/>
  <c r="G50"/>
  <c r="F62"/>
  <c r="F50" s="1"/>
  <c r="G36"/>
  <c r="G43"/>
  <c r="F42"/>
  <c r="F36" s="1"/>
  <c r="V240"/>
  <c r="E240" s="1"/>
  <c r="V272"/>
  <c r="E272" s="1"/>
  <c r="G295"/>
  <c r="F294"/>
  <c r="F282" s="1"/>
  <c r="G282"/>
  <c r="G373"/>
  <c r="G337" s="1"/>
  <c r="F372"/>
  <c r="F336" s="1"/>
  <c r="G67"/>
  <c r="F73"/>
  <c r="F67" s="1"/>
  <c r="G74"/>
  <c r="F238"/>
  <c r="F230" s="1"/>
  <c r="G239"/>
  <c r="G230"/>
  <c r="G336"/>
  <c r="F30"/>
  <c r="F467" s="1"/>
  <c r="G31"/>
  <c r="G468" s="1"/>
  <c r="F25" l="1"/>
  <c r="F19" s="1"/>
  <c r="G19"/>
  <c r="G26"/>
  <c r="G44"/>
  <c r="F43"/>
  <c r="F37" s="1"/>
  <c r="G37"/>
  <c r="G68"/>
  <c r="F74"/>
  <c r="F68" s="1"/>
  <c r="F295"/>
  <c r="F283" s="1"/>
  <c r="G283"/>
  <c r="G231"/>
  <c r="F239"/>
  <c r="F231" s="1"/>
  <c r="F31"/>
  <c r="F468" s="1"/>
  <c r="G32"/>
  <c r="G469" s="1"/>
  <c r="G20" l="1"/>
  <c r="F26"/>
  <c r="F20" s="1"/>
  <c r="F44"/>
  <c r="F38" s="1"/>
  <c r="G38"/>
  <c r="F32"/>
  <c r="F469" s="1"/>
</calcChain>
</file>

<file path=xl/sharedStrings.xml><?xml version="1.0" encoding="utf-8"?>
<sst xmlns="http://schemas.openxmlformats.org/spreadsheetml/2006/main" count="2025" uniqueCount="254">
  <si>
    <t>2012 год</t>
  </si>
  <si>
    <t xml:space="preserve">краевой бюджет  </t>
  </si>
  <si>
    <t>2011 год</t>
  </si>
  <si>
    <t>Сроки строительства</t>
  </si>
  <si>
    <t>2010-2012</t>
  </si>
  <si>
    <t>№</t>
  </si>
  <si>
    <t>Наименование мероприятия</t>
  </si>
  <si>
    <t>Мощность строительства</t>
  </si>
  <si>
    <t>Сметная стоимость строительства в ценах 2001 года, тыс.руб.</t>
  </si>
  <si>
    <t>Остаток сметной стоимость на начало года в ценах 2001 года, тыс.руб.</t>
  </si>
  <si>
    <t>Остаток сметной стоимости  на начало года в ценах соответ-свующих лет, тыс.руб.</t>
  </si>
  <si>
    <t xml:space="preserve">Объем финанси-рования - всего  </t>
  </si>
  <si>
    <t>В том числе</t>
  </si>
  <si>
    <t>внебюд-жетные источники</t>
  </si>
  <si>
    <t>X</t>
  </si>
  <si>
    <t>требуется разработка ПСД</t>
  </si>
  <si>
    <t>1100 тыс.т./год</t>
  </si>
  <si>
    <t>Расширение кладбища в пос.Подгорном</t>
  </si>
  <si>
    <t>5 га</t>
  </si>
  <si>
    <t xml:space="preserve">2011 год    </t>
  </si>
  <si>
    <t xml:space="preserve">2012 год    </t>
  </si>
  <si>
    <t>ВСЕГО ПО ПРОГРАММЕ:</t>
  </si>
  <si>
    <t>2009-2011</t>
  </si>
  <si>
    <t>0,9 км.</t>
  </si>
  <si>
    <t>1.2.5</t>
  </si>
  <si>
    <t xml:space="preserve">Строительство полигона ТБО в г.Железногорске </t>
  </si>
  <si>
    <t>Строительство внутриквартальных инженерных сетей теплоснабжения, водопровода, канализации, проездов МКР №5 северная часть</t>
  </si>
  <si>
    <t>Строительство внутриквартальных инженерных сетей теплоснабжения и водопровода в границах улиц пр.Ленинградский, ул.60 лет ВЛКСМ, проездов Мира-Юбилейный</t>
  </si>
  <si>
    <t>2013 год</t>
  </si>
  <si>
    <t>2014 год</t>
  </si>
  <si>
    <t>2015 год</t>
  </si>
  <si>
    <t>Реконструкция транзитной теплосети по ул.Кирова 2*Ду 600 мм от ТК 27 до ТК -30а*</t>
  </si>
  <si>
    <t>0,378 км</t>
  </si>
  <si>
    <t>Реконструкция электроустановок  подстанции № 5  МП «Горэлектросеть» *</t>
  </si>
  <si>
    <t>Х</t>
  </si>
  <si>
    <t>Реконструкция сетей электроснабжения «Головных водозаборных сооружений» *</t>
  </si>
  <si>
    <t>Реконструкция подстанции 110/35/6 кВ П-10 МП  «Горэлектросеть»</t>
  </si>
  <si>
    <t>25 МВа</t>
  </si>
  <si>
    <t>Реконструкция воздушных линий электропередач 35 кВ. *</t>
  </si>
  <si>
    <t>Реконструкция подстанции 110/35/6 кВ.   П-8  ФГУП «ГХК»</t>
  </si>
  <si>
    <t>Строительство трансформаторной подстанции 35/6 кВ. у КПП-3*</t>
  </si>
  <si>
    <t xml:space="preserve">Реконструкция подстанции 110/35/6 кВ ФГУП «ГХК»  П-6 </t>
  </si>
  <si>
    <t>2*16 МВа</t>
  </si>
  <si>
    <t>Реконструкция подстанции 35/6 кВ. П-2 .*</t>
  </si>
  <si>
    <t>Реконструкция подстанции 110/35/6 кВ.  П-4 МП  «Горэлектросеть».  *</t>
  </si>
  <si>
    <t>Обеспечение теплоснабжения пос.Подгорный, Первомайский*</t>
  </si>
  <si>
    <t>15,5 км</t>
  </si>
  <si>
    <t>2-е бойлер.</t>
  </si>
  <si>
    <t>Строительство тепловых сетей п.Заозёрный*</t>
  </si>
  <si>
    <t>5,6 км</t>
  </si>
  <si>
    <t>Строительство магистрального водовода от ЖТЭЦ до 2-го подъёма п.Подгорный*</t>
  </si>
  <si>
    <t>4,6 км.</t>
  </si>
  <si>
    <t>Строительство, с выполнением ПИР, очистных сооружений в д.Шивера*</t>
  </si>
  <si>
    <t>0,850 км.</t>
  </si>
  <si>
    <t>Строительство напорного коллектора от п.Новый Путь до насосной станции №47*</t>
  </si>
  <si>
    <t>5,8 км</t>
  </si>
  <si>
    <t>Строительство, с выполнением ПИР, системы канализования х/б стоков от п.Додоново на городские очистные сооружения*</t>
  </si>
  <si>
    <t>6,5 км.</t>
  </si>
  <si>
    <t>Строительство, с выполнением ПИР, бетонных площадок для золошлаковых отвалов котельных в д.Шивера, п.Тартат*</t>
  </si>
  <si>
    <t>250 кв.м.</t>
  </si>
  <si>
    <t>РП-6 кв. 
(24 ячейки)  КЛ-6 кВ.  L=2,5 км.</t>
  </si>
  <si>
    <t>ВЛ-6 кВ. 
L= 3 км.</t>
  </si>
  <si>
    <t>2010-2014</t>
  </si>
  <si>
    <t>2013-2015</t>
  </si>
  <si>
    <t>2010-2015</t>
  </si>
  <si>
    <t>ВЛ- 35 кВ. 
L= 3 км.</t>
  </si>
  <si>
    <t>ВЛ- 35 кВ. 
L= 5 км.</t>
  </si>
  <si>
    <t>1.2.1</t>
  </si>
  <si>
    <t>1.2.2</t>
  </si>
  <si>
    <t>1.2.3</t>
  </si>
  <si>
    <t>1.2.4</t>
  </si>
  <si>
    <t>1.2.6</t>
  </si>
  <si>
    <t>1.2.7</t>
  </si>
  <si>
    <t>1.2.8</t>
  </si>
  <si>
    <t>1.2.9</t>
  </si>
  <si>
    <t>1.2.10</t>
  </si>
  <si>
    <t>1.2.11</t>
  </si>
  <si>
    <t>1.2.13</t>
  </si>
  <si>
    <t>1.2.14</t>
  </si>
  <si>
    <t>1.2.16</t>
  </si>
  <si>
    <t>1.2.17</t>
  </si>
  <si>
    <t>1.2.18</t>
  </si>
  <si>
    <t>1.2.19</t>
  </si>
  <si>
    <t>1.2.20</t>
  </si>
  <si>
    <t>1.2.21</t>
  </si>
  <si>
    <t>1.2.22</t>
  </si>
  <si>
    <t>2.2.3</t>
  </si>
  <si>
    <t>2.2.7</t>
  </si>
  <si>
    <t>2.2.14</t>
  </si>
  <si>
    <t>2.2.15</t>
  </si>
  <si>
    <t>Реконструкция системы водоснабжения пос.Новый Путь со строительством дополнительной скважины и установки обеззараживания воды</t>
  </si>
  <si>
    <t>25,0 Га</t>
  </si>
  <si>
    <t>2012-2013</t>
  </si>
  <si>
    <t>2011-2012</t>
  </si>
  <si>
    <t>Реконструкция перекрестка ул. Ленина – ул. Советская</t>
  </si>
  <si>
    <t>2012-2015</t>
  </si>
  <si>
    <t>Строительство объектов коммунальной и транспортной инфраструктуры в целях малоэтажного жилищного строительства (строительство инженерных сетей для малоэтажной блокированной застройки по ул.Царевского)</t>
  </si>
  <si>
    <t>Реализация мероприятий в рамках ДЦП "Дом" на 2010 - 2012 годы</t>
  </si>
  <si>
    <t>5.2.6</t>
  </si>
  <si>
    <t>5.2.14</t>
  </si>
  <si>
    <t>5.2.15</t>
  </si>
  <si>
    <t>5.2.16</t>
  </si>
  <si>
    <t>5.2.17</t>
  </si>
  <si>
    <t>5.2.18</t>
  </si>
  <si>
    <t>5.2.19</t>
  </si>
  <si>
    <t>5.2</t>
  </si>
  <si>
    <t>2014-2015</t>
  </si>
  <si>
    <t>2013-2014</t>
  </si>
  <si>
    <t xml:space="preserve">Реализация мероприятий в рамках МЦП "Строительство жилых домов и обеспечение жилищной застройки инфраструктурой" </t>
  </si>
  <si>
    <t>Строительство инженерных коммуникаций и проездов в районе индивидуальных жилой застройки (район ул.Саянская 1-я очередь)</t>
  </si>
  <si>
    <t>2009-2013</t>
  </si>
  <si>
    <t>Строительство инженерных коммуникаций и проездов в районе индивидуальных жилой застройки (район ул.Саянская 2-я очередь)</t>
  </si>
  <si>
    <t>Строительство инженерных коммуникаций и проездов в районе индивидуальной жилой застройки (район ветлечебницы)</t>
  </si>
  <si>
    <t>2009-2014</t>
  </si>
  <si>
    <t>5.2.1</t>
  </si>
  <si>
    <t>5.2.2</t>
  </si>
  <si>
    <t>5.2.3</t>
  </si>
  <si>
    <t>5.2.5</t>
  </si>
  <si>
    <t>Строительство многоквартирных жилых домов в IV квартале Первомайского района (жилые дома по проезду Поселковый 3, 5, ул. Калинина, 13)</t>
  </si>
  <si>
    <t xml:space="preserve">Ввод в эксплу-атацию 10075,2 кв.м жилья </t>
  </si>
  <si>
    <t>5.2.7</t>
  </si>
  <si>
    <t>5.2.20</t>
  </si>
  <si>
    <t>5.2.22</t>
  </si>
  <si>
    <t>Строительство жилого дома по ул.Пушкина, 22</t>
  </si>
  <si>
    <t>5.2.23</t>
  </si>
  <si>
    <t>Строительство жилого дома по ул.Пушкина, 24</t>
  </si>
  <si>
    <t>5.2.26</t>
  </si>
  <si>
    <t>Строительство многоквартирного жилого дома в 5-ом микрорайоне г.Железногорска</t>
  </si>
  <si>
    <t>5.2.27</t>
  </si>
  <si>
    <t>Строительство многоквартирного жилого дома в поселке Подгорный</t>
  </si>
  <si>
    <t>5.2.28</t>
  </si>
  <si>
    <t>2011-2015</t>
  </si>
  <si>
    <t>6.25.2</t>
  </si>
  <si>
    <t>6.28</t>
  </si>
  <si>
    <t>6.28.4</t>
  </si>
  <si>
    <t>6.28.5</t>
  </si>
  <si>
    <t>Строительство спортивного зала МОУ Лицей №103</t>
  </si>
  <si>
    <t>1 МДОУ 
на 14 групп</t>
  </si>
  <si>
    <t>1 спортивный зал</t>
  </si>
  <si>
    <t xml:space="preserve">2013 год    </t>
  </si>
  <si>
    <t xml:space="preserve">2014 год    </t>
  </si>
  <si>
    <t xml:space="preserve">2015 год    </t>
  </si>
  <si>
    <t>6.25.2.3</t>
  </si>
  <si>
    <t>~200 МВт</t>
  </si>
  <si>
    <t>Реализация мероприятий в рамках Программы развития СКГАУ "Футбольный клуб "Енисей"" на 2011-2013 годы (приказ Министерства спорта, туризма и молодежной политики Красноярского края от 13.05.2011 №7311) - строительство футбольного поля с искусственным покрытием на стадионе "Труд"</t>
  </si>
  <si>
    <t>ОБЪЕКТЫ, СТРОЯЩИЕСЯ ЗА СЧЕТ СРЕДСТВ ВНЕШНЕГО ИНВЕСТОРА</t>
  </si>
  <si>
    <t>Реализация мероприятий в рамках ДЦП "Модернизация, реконструкция и капитальный ремонт объектов коммунальной инфраструктуры муниципальных образований Красноярского края на 2010-2012 годы"</t>
  </si>
  <si>
    <t>федеральный бюджет</t>
  </si>
  <si>
    <t>Строительство крытого катка  (реализация проекта будет произведена в случае выделения дополнительного финансирования)</t>
  </si>
  <si>
    <t>пропускная способность 
43 человека</t>
  </si>
  <si>
    <t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целях жилищного строительства в микрорайоне № 5 (южная часть) г.Железногорска</t>
  </si>
  <si>
    <t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целях малоэтажного жилищного строительства в районе индивидуальной жилой застройки 
КПП-1</t>
  </si>
  <si>
    <t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целях малоэтажного жилищного строительства в районе индивидуальной жилой застройки по ул. Линейная</t>
  </si>
  <si>
    <t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целях малоэтажного жилищного строительства в районе индивидуальной жилой застройки ЖЭК-7 Первомайского района г.Железногорска</t>
  </si>
  <si>
    <t>3.2.14</t>
  </si>
  <si>
    <t>3.2.15</t>
  </si>
  <si>
    <t>3.2.16</t>
  </si>
  <si>
    <t>до 2015 года</t>
  </si>
  <si>
    <t>2.2.4</t>
  </si>
  <si>
    <t>Капитальный ремонт  внутриквартальных территорий</t>
  </si>
  <si>
    <t>Благоустройство дворовых территорий 16 многоквартирных жилых домов</t>
  </si>
  <si>
    <t>2.2.29</t>
  </si>
  <si>
    <t>2.2.30</t>
  </si>
  <si>
    <t xml:space="preserve">Разработка  проекта и  строительство комплекса  сооружений   по отводу    промывных вод  от   установки обезжелезивания   городских водозаборных сооружений </t>
  </si>
  <si>
    <t>75 м3/час,
4,5 км</t>
  </si>
  <si>
    <t>Реконструкция автомобильной дороги Красноярск - Железногорск
(Реализация мероприятия в рамках ДЦП «Дорожный фонд Красноярского края» на 2009-2011 годы  и ДЦП "Дороги Красноярья" на 2012-2016 годы)</t>
  </si>
  <si>
    <t>Реконструкция автомобильной дороги ул.Красноярская (от КПП-1 до ул.Промышленная)</t>
  </si>
  <si>
    <t>Реконструкция ул. Южная в районе УПП</t>
  </si>
  <si>
    <t>Реконструкция проспекта Ленинградский</t>
  </si>
  <si>
    <t>4.1</t>
  </si>
  <si>
    <t>Реконструкция береговой  полосы Кантатского водохранилища с очисткой дна озера</t>
  </si>
  <si>
    <t>4.1.1</t>
  </si>
  <si>
    <t>2012-2014</t>
  </si>
  <si>
    <t>Проектирование и 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 в целях жилищного строительства в микрорайоне №7 г.Железногорска</t>
  </si>
  <si>
    <t>2012 год (%)</t>
  </si>
  <si>
    <t>кв.м</t>
  </si>
  <si>
    <t>5.2.29</t>
  </si>
  <si>
    <t>Строительство многоквартирных жилых домов</t>
  </si>
  <si>
    <t>Строительство арендного жилья для обеспечения жильем молодых специалистов "Молодежный поселок" (застройка микрорайона № 7)</t>
  </si>
  <si>
    <t>2014-2016</t>
  </si>
  <si>
    <t>6.23</t>
  </si>
  <si>
    <t>Реализация мероприятий в рамках: (краевой) ДЦП "От массовости к мастерству" на 2011-2013 годы и МЦП "Развитие физической культуры и спорта и формирование здорового образа жизни в ЗАТО Железногорск"</t>
  </si>
  <si>
    <t>6.23.43</t>
  </si>
  <si>
    <t>6.23.44</t>
  </si>
  <si>
    <t>Реконструкция кинотеатра «Спартак»</t>
  </si>
  <si>
    <t>ПЕРЕЧЕНЬ ОБЪЕКТОВ КАПИТАЛЬНОГО СТРОИТЕЛЬСТВА (РЕКОНСТРУКЦИИ), ФИНАНСИРУЕМЫХ ЗА СЧЕТ ВСЕХ ИСТОЧНИКОВ, тыс.руб.</t>
  </si>
  <si>
    <t>Приложение 5
к комплексной программе социально-экономического развития ЗАТО Железногорск до 2020 года</t>
  </si>
  <si>
    <t>Строительство детского сада на 190 мест в 5-ом микрорайоне</t>
  </si>
  <si>
    <t>3.2.20</t>
  </si>
  <si>
    <t>3.2.17</t>
  </si>
  <si>
    <t>2011-2014</t>
  </si>
  <si>
    <t xml:space="preserve">Создание на территории ЗАТО Железногорск промышленного парка </t>
  </si>
  <si>
    <t>1.2.28</t>
  </si>
  <si>
    <t>Строительство сетей электроснабжения для перевода электрических мощностей подстанции "Город" в энергодефицитные районы г. Железногорска</t>
  </si>
  <si>
    <t xml:space="preserve">Реализация мероприятий в рамках МЦП "Чистый город",  МП  "Охрана окружающей среды, воспроизводство природных ресурсов на территории ЗАТО Железногорск" </t>
  </si>
  <si>
    <t>Строительство комплекса по переработке твердых бытовых отходов</t>
  </si>
  <si>
    <t>1.1</t>
  </si>
  <si>
    <t>1.2</t>
  </si>
  <si>
    <t>1.2.15</t>
  </si>
  <si>
    <t>3.3</t>
  </si>
  <si>
    <t>9.1</t>
  </si>
  <si>
    <t>2.2</t>
  </si>
  <si>
    <t>3.2</t>
  </si>
  <si>
    <t>Строительство объекта "Транспортная развязка в районе УПП"</t>
  </si>
  <si>
    <t>1.2.29</t>
  </si>
  <si>
    <t>ОБЪЕКТЫ, ФИНАНСИРУЕМЫЕ В РАМКАХ КРАЕВЫХ (ГОСУДАРСТВЕННЫХ) И ДОЛГОСРОЧНЫХ ЦЕЛЕВЫХ ПРОГРАММ</t>
  </si>
  <si>
    <t>ОБЪЕКТЫ, ФИНАНСИРУЕМЫЕ В РАМКАХ МУНИЦИПАЛЬНЫХ ЦЕЛЕВЫХ ПРОГРАММ (МУНИЦИПАЛЬНЫХ ПРОГРАММ)</t>
  </si>
  <si>
    <t xml:space="preserve"> 0,56 км</t>
  </si>
  <si>
    <t>14,297 км</t>
  </si>
  <si>
    <t>2010-2016</t>
  </si>
  <si>
    <t>4.1.7</t>
  </si>
  <si>
    <t>Примечание: * выполнение мероприятия при наличии дополнительного финансирования</t>
  </si>
  <si>
    <t>Строительство и модернизация объектов электроснабжения ЗАТО Железногорск</t>
  </si>
  <si>
    <t>Ввод в эксплуатацию 15000 кв.м жилья, обеспечение объектами инженерной и транспортной инфраструктуры 100 индивидуальных жилых домов</t>
  </si>
  <si>
    <t>16 МВа</t>
  </si>
  <si>
    <t>2*2,5 МВа</t>
  </si>
  <si>
    <t>Строительство теплосети в районе пл.Победы</t>
  </si>
  <si>
    <t>Реконструкция (модернизация) оборудования бойлерных насосных станций (бойлерная №8; бойлерная №38)*</t>
  </si>
  <si>
    <t>Ввод в эксплу-атацию 7050 кв.м жилья, обеспечение объектами инженерной и транспортной инфраструктуры 47 индивидуальных жилых домов</t>
  </si>
  <si>
    <t>Ввод в эксплу-атацию 6600 кв.м жилья, обеспечение объектами инженерной и транспортной инфраструктуры 44 индивидуальных жилых домов</t>
  </si>
  <si>
    <t>Ввод в эксплу-атацию 11250 кв.м жилья, обеспечение объектами инженерной и транспортной инфраструктуры 75 индивидуальных жилых домов</t>
  </si>
  <si>
    <t>Обеспечение объектами коммунальной и транспортной инфраструктуры 6 многоквартирных жилых домов.</t>
  </si>
  <si>
    <t xml:space="preserve">Ввод в эксплуатацию
560,0 кв.м жилья </t>
  </si>
  <si>
    <t xml:space="preserve">Ввод в эксплуатацию
551,0 кв.м жилья </t>
  </si>
  <si>
    <t>2009-2018</t>
  </si>
  <si>
    <t>Строительство объекта ритуального назначения (кладбище)</t>
  </si>
  <si>
    <t>14,04 Га</t>
  </si>
  <si>
    <t>2014-2018</t>
  </si>
  <si>
    <t>3,8 км</t>
  </si>
  <si>
    <t>2009-2016</t>
  </si>
  <si>
    <t>местный  бюджет</t>
  </si>
  <si>
    <t>Реализация мероприятий в рамках краевой целевой программы "Культура Красноярья"</t>
  </si>
  <si>
    <t>Реализация мероприятий в рамках МЦП "Энергетическое обеспечение ЗАТО Железногорск", МП "Реформирование и модернизация жилищно-коммунального хозяйства и повышение энергетической эффективности на территории ЗАТО Железногорск"</t>
  </si>
  <si>
    <t>Реализация мероприятий в рамках МЦП "Реформирование и модернизация жилищно-коммунального хозяйства ЗАТО Железногорск", МП "Реформирование и модернизация жилищно-коммунального хозяйства и повышение энергетической эффективности на территории ЗАТО Железногорск"</t>
  </si>
  <si>
    <t>Реализация мероприятий в рамках ДЦП «Реконструкция и ремонт дорог местного значения на территории ЗАТО Железногорск» на 2012-2014 годы, МП "Развитие транспортной системы, содержание и благоустройство территории ЗАТО Железногорск"</t>
  </si>
  <si>
    <t>Реализация мероприятий в рамках МЦП "Обеспечение деятельности учреждений дошкольного, общего и дополнительного образования ЗАТО Железногорск", МП "Развитие образования ЗАТО Железногорск"</t>
  </si>
  <si>
    <t>Реконструкция открытого распределительного устройства подстанции 110/35/6 кВ П-10 МП  «Горэлектросеть»*</t>
  </si>
  <si>
    <t>Строительство воздушной линии электропередач 35 кВ. от П-8 до  КПП-3*</t>
  </si>
  <si>
    <t>Капитальный  ремонт водоотведения городского кладбища (4 – 7 очереди)</t>
  </si>
  <si>
    <t>2*10 МВа</t>
  </si>
  <si>
    <t xml:space="preserve">Строительство теплосети, сетей водопровода и канализации, канализации связи, сетей электроснабжения, устройство улиц (тротуаров, газонов, дорог, площадок для сбора бытовых отходов) в районе индивидуальной жилой застройки в поселке Подгорный в районе улиц Черемуховая, Весенняя, Цветочная, Удачная </t>
  </si>
  <si>
    <t>2013 год (тыс.руб.)</t>
  </si>
  <si>
    <t>2010-2017</t>
  </si>
  <si>
    <t>2016 год</t>
  </si>
  <si>
    <t>2017 год</t>
  </si>
  <si>
    <t>Строительство наружных сетей электроснабжения МКР № 3А, 5</t>
  </si>
  <si>
    <t>2012-2017</t>
  </si>
  <si>
    <t>2014-2017</t>
  </si>
  <si>
    <t>3,26 км</t>
  </si>
  <si>
    <t xml:space="preserve">2016 год    </t>
  </si>
  <si>
    <t xml:space="preserve">2017 год    </t>
  </si>
  <si>
    <t>Маслян. выключ. 110/35/6 кВ. 
9 шт.</t>
  </si>
  <si>
    <t>ВЛ - 6,196 км;  кабельные линии - 4,834 км; 22000 КВт</t>
  </si>
  <si>
    <t>Приложение № 3
к решению Совета депутатов
от 23 ноября 2017 № 24-98Р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</si>
</sst>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.0"/>
    <numFmt numFmtId="166" formatCode="#,##0.00_р_."/>
    <numFmt numFmtId="167" formatCode="#,##0.000_р_."/>
    <numFmt numFmtId="168" formatCode="#,##0.0_р_."/>
  </numFmts>
  <fonts count="9">
    <font>
      <sz val="10"/>
      <name val="Arial Cy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61">
    <xf numFmtId="0" fontId="0" fillId="0" borderId="0" xfId="0"/>
    <xf numFmtId="49" fontId="2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vertical="center"/>
    </xf>
    <xf numFmtId="164" fontId="2" fillId="3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2" fillId="0" borderId="0" xfId="2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vertical="center" wrapText="1"/>
    </xf>
    <xf numFmtId="2" fontId="4" fillId="0" borderId="0" xfId="2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2" applyFont="1" applyFill="1" applyBorder="1" applyAlignment="1">
      <alignment horizontal="center" vertical="center" wrapText="1"/>
    </xf>
    <xf numFmtId="164" fontId="4" fillId="4" borderId="1" xfId="2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64" fontId="2" fillId="4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167" fontId="4" fillId="4" borderId="1" xfId="2" applyNumberFormat="1" applyFont="1" applyFill="1" applyBorder="1" applyAlignment="1">
      <alignment horizontal="center" vertical="center" wrapText="1"/>
    </xf>
    <xf numFmtId="49" fontId="4" fillId="4" borderId="1" xfId="2" applyNumberFormat="1" applyFont="1" applyFill="1" applyBorder="1" applyAlignment="1">
      <alignment horizontal="center" vertical="center" wrapText="1"/>
    </xf>
    <xf numFmtId="168" fontId="4" fillId="4" borderId="1" xfId="0" applyNumberFormat="1" applyFont="1" applyFill="1" applyBorder="1" applyAlignment="1">
      <alignment horizontal="center" vertical="center" wrapText="1"/>
    </xf>
    <xf numFmtId="165" fontId="2" fillId="4" borderId="0" xfId="2" applyNumberFormat="1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165" fontId="4" fillId="4" borderId="0" xfId="2" applyNumberFormat="1" applyFont="1" applyFill="1" applyAlignment="1">
      <alignment horizontal="center" vertical="center"/>
    </xf>
    <xf numFmtId="165" fontId="4" fillId="4" borderId="0" xfId="0" applyNumberFormat="1" applyFont="1" applyFill="1" applyAlignment="1">
      <alignment horizontal="center" vertical="center"/>
    </xf>
    <xf numFmtId="166" fontId="2" fillId="0" borderId="1" xfId="2" applyNumberFormat="1" applyFont="1" applyFill="1" applyBorder="1" applyAlignment="1">
      <alignment horizontal="center" vertical="center" wrapText="1"/>
    </xf>
    <xf numFmtId="168" fontId="4" fillId="4" borderId="1" xfId="2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right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2" fillId="5" borderId="0" xfId="2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8" fontId="2" fillId="0" borderId="1" xfId="0" applyNumberFormat="1" applyFont="1" applyFill="1" applyBorder="1" applyAlignment="1">
      <alignment horizontal="center" wrapText="1"/>
    </xf>
    <xf numFmtId="168" fontId="2" fillId="0" borderId="1" xfId="0" applyNumberFormat="1" applyFont="1" applyFill="1" applyBorder="1" applyAlignment="1">
      <alignment horizontal="center" vertical="top" wrapText="1"/>
    </xf>
    <xf numFmtId="165" fontId="2" fillId="5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2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165" fontId="2" fillId="6" borderId="0" xfId="2" applyNumberFormat="1" applyFont="1" applyFill="1" applyAlignment="1">
      <alignment horizontal="center" vertical="center"/>
    </xf>
    <xf numFmtId="164" fontId="4" fillId="6" borderId="0" xfId="0" applyNumberFormat="1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164" fontId="2" fillId="6" borderId="0" xfId="0" applyNumberFormat="1" applyFont="1" applyFill="1" applyBorder="1" applyAlignment="1">
      <alignment horizontal="center" vertical="center" wrapText="1"/>
    </xf>
    <xf numFmtId="165" fontId="2" fillId="6" borderId="0" xfId="0" applyNumberFormat="1" applyFont="1" applyFill="1" applyAlignment="1">
      <alignment horizontal="center" vertical="center"/>
    </xf>
    <xf numFmtId="2" fontId="4" fillId="4" borderId="0" xfId="2" applyNumberFormat="1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Alignment="1">
      <alignment horizontal="center" vertical="center"/>
    </xf>
    <xf numFmtId="164" fontId="2" fillId="7" borderId="0" xfId="0" applyNumberFormat="1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 wrapText="1"/>
    </xf>
    <xf numFmtId="164" fontId="2" fillId="7" borderId="0" xfId="0" applyNumberFormat="1" applyFont="1" applyFill="1" applyAlignment="1">
      <alignment vertical="center"/>
    </xf>
    <xf numFmtId="164" fontId="2" fillId="7" borderId="0" xfId="0" applyNumberFormat="1" applyFont="1" applyFill="1" applyAlignment="1">
      <alignment horizontal="right" vertical="center"/>
    </xf>
    <xf numFmtId="165" fontId="2" fillId="7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67" fontId="4" fillId="0" borderId="1" xfId="2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Прогр. соц.-эк. разв.приложение №1 правлен. вариан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&#1050;&#1055;&#1057;&#1069;&#1056;%20&#1076;&#1086;%202020%20&#1075;&#1086;&#1076;&#1072;/!&#1050;&#1055;&#1057;&#1069;&#1056;%20&#1076;&#1086;%202020%20&#1075;&#1086;&#1076;&#1072;/!&#1055;&#1088;&#1080;&#1083;&#1086;&#1078;&#1077;&#1085;&#1080;&#1103;_2020%20&#1075;&#1086;&#1076;/&#1055;&#1056;&#1048;&#1051;&#1054;&#1046;&#1045;&#1053;&#1048;&#1045;_3_&#1086;&#1073;&#1098;&#1077;&#1084;&#1099;%20&#1080;%20&#1080;&#1089;&#1090;&#1086;&#1095;&#1085;&#1080;&#1082;&#1080;%20&#1092;&#1080;&#1085;&#1072;&#1085;&#1089;&#1080;&#1088;&#1086;&#1074;&#1072;&#1085;&#1080;&#110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3"/>
      <sheetName val="3.1_энергообеспечение"/>
      <sheetName val="3.2_энергосбережение"/>
      <sheetName val="3.3_ЖКХ"/>
      <sheetName val="3.4_дороги"/>
      <sheetName val="3.5_Чист_г"/>
      <sheetName val="3.6_ОЯТ"/>
      <sheetName val="3.7_жилье_инфр-ра"/>
      <sheetName val="3.8_ст.поколение"/>
      <sheetName val="3.9_спорт"/>
      <sheetName val="3.10_культура"/>
      <sheetName val="3.11_ОБЖ"/>
      <sheetName val="3.12_летний отдых"/>
      <sheetName val="3.13_одар дети"/>
      <sheetName val="3.15_наркомания"/>
      <sheetName val="Пр_3.16_ФЦП_обор"/>
      <sheetName val="Пр_3.17_ФЦП_ГЛОНАСС"/>
      <sheetName val="Пр_3.18_инв_проекты"/>
      <sheetName val="Пр._3.19_МЦП_Пр-во"/>
      <sheetName val="3.20_терплан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74"/>
  <sheetViews>
    <sheetView tabSelected="1" view="pageBreakPreview" zoomScaleSheetLayoutView="100" workbookViewId="0">
      <pane ySplit="6" topLeftCell="A7" activePane="bottomLeft" state="frozen"/>
      <selection pane="bottomLeft" activeCell="H4" sqref="H4:H5"/>
    </sheetView>
  </sheetViews>
  <sheetFormatPr defaultRowHeight="12.75"/>
  <cols>
    <col min="1" max="1" width="7.7109375" style="1" bestFit="1" customWidth="1"/>
    <col min="2" max="2" width="37.85546875" style="2" customWidth="1"/>
    <col min="3" max="3" width="17.42578125" style="2" customWidth="1"/>
    <col min="4" max="4" width="13" style="2" customWidth="1"/>
    <col min="5" max="5" width="12.140625" style="2" customWidth="1"/>
    <col min="6" max="6" width="12" style="2" customWidth="1"/>
    <col min="7" max="7" width="13.28515625" style="2" customWidth="1"/>
    <col min="8" max="8" width="13.5703125" style="2" customWidth="1"/>
    <col min="9" max="9" width="11.5703125" style="2" customWidth="1"/>
    <col min="10" max="10" width="11.28515625" style="2" customWidth="1"/>
    <col min="11" max="11" width="11.140625" style="2" customWidth="1"/>
    <col min="12" max="12" width="11.5703125" style="2" customWidth="1"/>
    <col min="13" max="13" width="10.5703125" style="2" customWidth="1"/>
    <col min="14" max="14" width="13.42578125" style="3" customWidth="1"/>
    <col min="15" max="15" width="12" style="2" customWidth="1"/>
    <col min="16" max="16" width="10.7109375" style="2" bestFit="1" customWidth="1"/>
    <col min="17" max="19" width="9.140625" style="2"/>
    <col min="20" max="20" width="9.28515625" style="2" bestFit="1" customWidth="1"/>
    <col min="21" max="16384" width="9.140625" style="2"/>
  </cols>
  <sheetData>
    <row r="1" spans="1:20" s="6" customFormat="1" ht="62.25" customHeight="1">
      <c r="A1" s="5"/>
      <c r="J1" s="124" t="s">
        <v>253</v>
      </c>
      <c r="K1" s="124"/>
      <c r="L1" s="124"/>
      <c r="N1" s="7"/>
    </row>
    <row r="2" spans="1:20" s="6" customFormat="1" ht="73.5" customHeight="1">
      <c r="A2" s="5"/>
      <c r="I2" s="22"/>
      <c r="J2" s="124" t="s">
        <v>186</v>
      </c>
      <c r="K2" s="124"/>
      <c r="L2" s="124"/>
      <c r="N2" s="7"/>
    </row>
    <row r="3" spans="1:20" s="6" customFormat="1" ht="39" customHeight="1">
      <c r="A3" s="125" t="s">
        <v>185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N3" s="7"/>
    </row>
    <row r="4" spans="1:20" s="10" customFormat="1" ht="18" customHeight="1">
      <c r="A4" s="126" t="s">
        <v>5</v>
      </c>
      <c r="B4" s="128" t="s">
        <v>6</v>
      </c>
      <c r="C4" s="128" t="s">
        <v>7</v>
      </c>
      <c r="D4" s="128" t="s">
        <v>3</v>
      </c>
      <c r="E4" s="128" t="s">
        <v>8</v>
      </c>
      <c r="F4" s="128" t="s">
        <v>9</v>
      </c>
      <c r="G4" s="128" t="s">
        <v>10</v>
      </c>
      <c r="H4" s="128" t="s">
        <v>11</v>
      </c>
      <c r="I4" s="128" t="s">
        <v>12</v>
      </c>
      <c r="J4" s="128"/>
      <c r="K4" s="128"/>
      <c r="L4" s="128"/>
      <c r="N4" s="11"/>
    </row>
    <row r="5" spans="1:20" s="10" customFormat="1" ht="81" customHeight="1">
      <c r="A5" s="127"/>
      <c r="B5" s="129"/>
      <c r="C5" s="128"/>
      <c r="D5" s="128"/>
      <c r="E5" s="128"/>
      <c r="F5" s="128"/>
      <c r="G5" s="128"/>
      <c r="H5" s="128"/>
      <c r="I5" s="9" t="s">
        <v>147</v>
      </c>
      <c r="J5" s="9" t="s">
        <v>1</v>
      </c>
      <c r="K5" s="113" t="s">
        <v>230</v>
      </c>
      <c r="L5" s="9" t="s">
        <v>13</v>
      </c>
      <c r="N5" s="11"/>
    </row>
    <row r="6" spans="1:20" s="10" customFormat="1" ht="14.25" customHeight="1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N6" s="11"/>
    </row>
    <row r="7" spans="1:20" s="12" customFormat="1" ht="31.5" customHeight="1">
      <c r="A7" s="130" t="s">
        <v>145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2"/>
      <c r="N7" s="13"/>
    </row>
    <row r="8" spans="1:20" s="60" customFormat="1" ht="41.25" customHeight="1">
      <c r="A8" s="133" t="s">
        <v>196</v>
      </c>
      <c r="B8" s="32" t="s">
        <v>212</v>
      </c>
      <c r="C8" s="51" t="s">
        <v>143</v>
      </c>
      <c r="D8" s="51" t="s">
        <v>63</v>
      </c>
      <c r="E8" s="64">
        <f>T8</f>
        <v>172660.49913349168</v>
      </c>
      <c r="F8" s="51" t="s">
        <v>14</v>
      </c>
      <c r="G8" s="51" t="s">
        <v>14</v>
      </c>
      <c r="H8" s="53">
        <f t="shared" ref="H8:H13" si="0">I8+J8+K8+L8</f>
        <v>1200000</v>
      </c>
      <c r="I8" s="53">
        <f>SUM(I9:I13)</f>
        <v>0</v>
      </c>
      <c r="J8" s="53">
        <f>SUM(J9:J13)</f>
        <v>0</v>
      </c>
      <c r="K8" s="53">
        <f>SUM(K9:K13)</f>
        <v>0</v>
      </c>
      <c r="L8" s="53">
        <f>SUM(L9:L13)</f>
        <v>1200000</v>
      </c>
      <c r="M8" s="102"/>
      <c r="N8" s="37">
        <f>SUM(N9:N13)</f>
        <v>172626.91479991589</v>
      </c>
      <c r="S8" s="68"/>
      <c r="T8" s="30">
        <f>T9+T10+T11+T12+T13</f>
        <v>172660.49913349168</v>
      </c>
    </row>
    <row r="9" spans="1:20" s="60" customFormat="1">
      <c r="A9" s="134"/>
      <c r="B9" s="39" t="s">
        <v>19</v>
      </c>
      <c r="C9" s="51" t="s">
        <v>14</v>
      </c>
      <c r="D9" s="51" t="s">
        <v>14</v>
      </c>
      <c r="E9" s="51" t="s">
        <v>14</v>
      </c>
      <c r="F9" s="53">
        <f>G9/M9</f>
        <v>0</v>
      </c>
      <c r="G9" s="53">
        <v>0</v>
      </c>
      <c r="H9" s="53">
        <f t="shared" si="0"/>
        <v>0</v>
      </c>
      <c r="I9" s="53">
        <v>0</v>
      </c>
      <c r="J9" s="53">
        <v>0</v>
      </c>
      <c r="K9" s="53">
        <v>0</v>
      </c>
      <c r="L9" s="53">
        <v>0</v>
      </c>
      <c r="M9" s="61">
        <v>6.0168239999999997</v>
      </c>
      <c r="N9" s="37">
        <f>H9/M9</f>
        <v>0</v>
      </c>
      <c r="S9" s="68">
        <v>5.4316964175493201</v>
      </c>
      <c r="T9" s="31">
        <f>H9/S9</f>
        <v>0</v>
      </c>
    </row>
    <row r="10" spans="1:20" s="60" customFormat="1">
      <c r="A10" s="134"/>
      <c r="B10" s="39" t="s">
        <v>20</v>
      </c>
      <c r="C10" s="51" t="s">
        <v>14</v>
      </c>
      <c r="D10" s="51" t="s">
        <v>14</v>
      </c>
      <c r="E10" s="51" t="s">
        <v>14</v>
      </c>
      <c r="F10" s="53">
        <f>G10/M10</f>
        <v>0</v>
      </c>
      <c r="G10" s="53">
        <f>G9-H9</f>
        <v>0</v>
      </c>
      <c r="H10" s="53">
        <f t="shared" si="0"/>
        <v>0</v>
      </c>
      <c r="I10" s="53">
        <v>0</v>
      </c>
      <c r="J10" s="53">
        <v>0</v>
      </c>
      <c r="K10" s="53">
        <v>0</v>
      </c>
      <c r="L10" s="53">
        <v>0</v>
      </c>
      <c r="M10" s="61">
        <v>6.3597829679999993</v>
      </c>
      <c r="N10" s="37">
        <f>H10/M10</f>
        <v>0</v>
      </c>
      <c r="S10" s="68">
        <v>6.24</v>
      </c>
      <c r="T10" s="31">
        <f>H10/S10</f>
        <v>0</v>
      </c>
    </row>
    <row r="11" spans="1:20" s="60" customFormat="1">
      <c r="A11" s="134"/>
      <c r="B11" s="39" t="s">
        <v>28</v>
      </c>
      <c r="C11" s="51" t="s">
        <v>14</v>
      </c>
      <c r="D11" s="51" t="s">
        <v>14</v>
      </c>
      <c r="E11" s="51" t="s">
        <v>14</v>
      </c>
      <c r="F11" s="53">
        <f>G11/M11</f>
        <v>179018.67561004352</v>
      </c>
      <c r="G11" s="53">
        <f>H8</f>
        <v>1200000</v>
      </c>
      <c r="H11" s="53">
        <f t="shared" si="0"/>
        <v>469700</v>
      </c>
      <c r="I11" s="53">
        <v>0</v>
      </c>
      <c r="J11" s="53">
        <v>0</v>
      </c>
      <c r="K11" s="53">
        <v>0</v>
      </c>
      <c r="L11" s="53">
        <v>469700</v>
      </c>
      <c r="M11" s="62">
        <v>6.7032112482719999</v>
      </c>
      <c r="N11" s="37">
        <f>H11/M11</f>
        <v>70070.893278364529</v>
      </c>
      <c r="S11" s="72">
        <v>6.7</v>
      </c>
      <c r="T11" s="31">
        <f>H11/S11</f>
        <v>70104.477611940296</v>
      </c>
    </row>
    <row r="12" spans="1:20" s="60" customFormat="1">
      <c r="A12" s="134"/>
      <c r="B12" s="39" t="s">
        <v>29</v>
      </c>
      <c r="C12" s="51" t="s">
        <v>14</v>
      </c>
      <c r="D12" s="51" t="s">
        <v>14</v>
      </c>
      <c r="E12" s="51" t="s">
        <v>14</v>
      </c>
      <c r="F12" s="53">
        <f>G12/M12</f>
        <v>103366.01739248479</v>
      </c>
      <c r="G12" s="53">
        <f>G11-H11</f>
        <v>730300</v>
      </c>
      <c r="H12" s="53">
        <f t="shared" si="0"/>
        <v>618600</v>
      </c>
      <c r="I12" s="53">
        <v>0</v>
      </c>
      <c r="J12" s="53">
        <v>0</v>
      </c>
      <c r="K12" s="53">
        <v>0</v>
      </c>
      <c r="L12" s="53">
        <v>618600</v>
      </c>
      <c r="M12" s="62">
        <v>7.0651846556786886</v>
      </c>
      <c r="N12" s="37">
        <f>H12/M12</f>
        <v>87556.097985747081</v>
      </c>
      <c r="S12" s="72">
        <v>7.0651846556786886</v>
      </c>
      <c r="T12" s="31">
        <f>H12/S12</f>
        <v>87556.097985747081</v>
      </c>
    </row>
    <row r="13" spans="1:20" s="60" customFormat="1">
      <c r="A13" s="134"/>
      <c r="B13" s="39" t="s">
        <v>30</v>
      </c>
      <c r="C13" s="51" t="s">
        <v>14</v>
      </c>
      <c r="D13" s="51" t="s">
        <v>14</v>
      </c>
      <c r="E13" s="51" t="s">
        <v>14</v>
      </c>
      <c r="F13" s="53">
        <f>G13/M13</f>
        <v>14999.923535804281</v>
      </c>
      <c r="G13" s="53">
        <f>G12-H12</f>
        <v>111700</v>
      </c>
      <c r="H13" s="53">
        <f t="shared" si="0"/>
        <v>111700</v>
      </c>
      <c r="I13" s="53">
        <v>0</v>
      </c>
      <c r="J13" s="53">
        <v>0</v>
      </c>
      <c r="K13" s="53">
        <v>0</v>
      </c>
      <c r="L13" s="53">
        <v>111700</v>
      </c>
      <c r="M13" s="62">
        <v>7.4467046270853379</v>
      </c>
      <c r="N13" s="37">
        <f>H13/M13</f>
        <v>14999.923535804281</v>
      </c>
      <c r="S13" s="72">
        <v>7.4467046270853379</v>
      </c>
      <c r="T13" s="31">
        <f>H13/S13</f>
        <v>14999.923535804281</v>
      </c>
    </row>
    <row r="14" spans="1:20" s="29" customFormat="1" ht="30" customHeight="1">
      <c r="A14" s="135" t="s">
        <v>205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27"/>
      <c r="N14" s="28"/>
    </row>
    <row r="15" spans="1:20" s="38" customFormat="1" ht="88.5" customHeight="1">
      <c r="A15" s="133" t="s">
        <v>197</v>
      </c>
      <c r="B15" s="32" t="s">
        <v>146</v>
      </c>
      <c r="C15" s="33" t="s">
        <v>14</v>
      </c>
      <c r="D15" s="33" t="s">
        <v>157</v>
      </c>
      <c r="E15" s="34" t="s">
        <v>14</v>
      </c>
      <c r="F15" s="34" t="s">
        <v>14</v>
      </c>
      <c r="G15" s="34" t="s">
        <v>14</v>
      </c>
      <c r="H15" s="35">
        <f t="shared" ref="H15:L20" si="1">H21</f>
        <v>0</v>
      </c>
      <c r="I15" s="35">
        <f t="shared" si="1"/>
        <v>0</v>
      </c>
      <c r="J15" s="35">
        <f t="shared" si="1"/>
        <v>0</v>
      </c>
      <c r="K15" s="35">
        <f t="shared" si="1"/>
        <v>0</v>
      </c>
      <c r="L15" s="35">
        <f t="shared" si="1"/>
        <v>0</v>
      </c>
      <c r="M15" s="36"/>
      <c r="N15" s="37" t="e">
        <f>SUM(N16:N20)</f>
        <v>#DIV/0!</v>
      </c>
    </row>
    <row r="16" spans="1:20" s="38" customFormat="1">
      <c r="A16" s="134"/>
      <c r="B16" s="39" t="s">
        <v>19</v>
      </c>
      <c r="C16" s="33" t="s">
        <v>14</v>
      </c>
      <c r="D16" s="33" t="s">
        <v>14</v>
      </c>
      <c r="E16" s="34" t="s">
        <v>14</v>
      </c>
      <c r="F16" s="35">
        <f t="shared" ref="F16:G20" si="2">F22</f>
        <v>0</v>
      </c>
      <c r="G16" s="35">
        <f t="shared" si="2"/>
        <v>0</v>
      </c>
      <c r="H16" s="35">
        <f t="shared" si="1"/>
        <v>0</v>
      </c>
      <c r="I16" s="35">
        <f t="shared" si="1"/>
        <v>0</v>
      </c>
      <c r="J16" s="35">
        <f t="shared" si="1"/>
        <v>0</v>
      </c>
      <c r="K16" s="35">
        <f t="shared" si="1"/>
        <v>0</v>
      </c>
      <c r="L16" s="35">
        <f t="shared" si="1"/>
        <v>0</v>
      </c>
      <c r="N16" s="40" t="e">
        <f t="shared" ref="N16:N44" si="3">H16/M16</f>
        <v>#DIV/0!</v>
      </c>
    </row>
    <row r="17" spans="1:14" s="38" customFormat="1">
      <c r="A17" s="134"/>
      <c r="B17" s="39" t="s">
        <v>20</v>
      </c>
      <c r="C17" s="33" t="s">
        <v>14</v>
      </c>
      <c r="D17" s="33" t="s">
        <v>14</v>
      </c>
      <c r="E17" s="34" t="s">
        <v>14</v>
      </c>
      <c r="F17" s="35">
        <f t="shared" si="2"/>
        <v>0</v>
      </c>
      <c r="G17" s="35">
        <f t="shared" si="2"/>
        <v>0</v>
      </c>
      <c r="H17" s="35">
        <f t="shared" si="1"/>
        <v>0</v>
      </c>
      <c r="I17" s="35">
        <f t="shared" si="1"/>
        <v>0</v>
      </c>
      <c r="J17" s="35">
        <f t="shared" si="1"/>
        <v>0</v>
      </c>
      <c r="K17" s="35">
        <f t="shared" si="1"/>
        <v>0</v>
      </c>
      <c r="L17" s="35">
        <f t="shared" si="1"/>
        <v>0</v>
      </c>
      <c r="N17" s="40" t="e">
        <f t="shared" si="3"/>
        <v>#DIV/0!</v>
      </c>
    </row>
    <row r="18" spans="1:14" s="38" customFormat="1">
      <c r="A18" s="134"/>
      <c r="B18" s="39" t="s">
        <v>28</v>
      </c>
      <c r="C18" s="33" t="s">
        <v>14</v>
      </c>
      <c r="D18" s="33" t="s">
        <v>14</v>
      </c>
      <c r="E18" s="34" t="s">
        <v>14</v>
      </c>
      <c r="F18" s="35">
        <f t="shared" si="2"/>
        <v>0</v>
      </c>
      <c r="G18" s="35">
        <f t="shared" si="2"/>
        <v>0</v>
      </c>
      <c r="H18" s="35">
        <f t="shared" si="1"/>
        <v>0</v>
      </c>
      <c r="I18" s="35">
        <f t="shared" si="1"/>
        <v>0</v>
      </c>
      <c r="J18" s="35">
        <f t="shared" si="1"/>
        <v>0</v>
      </c>
      <c r="K18" s="35">
        <f t="shared" si="1"/>
        <v>0</v>
      </c>
      <c r="L18" s="35">
        <f t="shared" si="1"/>
        <v>0</v>
      </c>
      <c r="N18" s="40" t="e">
        <f t="shared" si="3"/>
        <v>#DIV/0!</v>
      </c>
    </row>
    <row r="19" spans="1:14" s="38" customFormat="1">
      <c r="A19" s="134"/>
      <c r="B19" s="39" t="s">
        <v>29</v>
      </c>
      <c r="C19" s="33" t="s">
        <v>14</v>
      </c>
      <c r="D19" s="33" t="s">
        <v>14</v>
      </c>
      <c r="E19" s="34" t="s">
        <v>14</v>
      </c>
      <c r="F19" s="35">
        <f t="shared" si="2"/>
        <v>0</v>
      </c>
      <c r="G19" s="35">
        <f t="shared" si="2"/>
        <v>0</v>
      </c>
      <c r="H19" s="35">
        <f t="shared" si="1"/>
        <v>0</v>
      </c>
      <c r="I19" s="35">
        <f t="shared" si="1"/>
        <v>0</v>
      </c>
      <c r="J19" s="35">
        <f t="shared" si="1"/>
        <v>0</v>
      </c>
      <c r="K19" s="35">
        <f t="shared" si="1"/>
        <v>0</v>
      </c>
      <c r="L19" s="35">
        <f t="shared" si="1"/>
        <v>0</v>
      </c>
      <c r="N19" s="40" t="e">
        <f t="shared" si="3"/>
        <v>#DIV/0!</v>
      </c>
    </row>
    <row r="20" spans="1:14" s="38" customFormat="1">
      <c r="A20" s="134"/>
      <c r="B20" s="39" t="s">
        <v>30</v>
      </c>
      <c r="C20" s="33" t="s">
        <v>14</v>
      </c>
      <c r="D20" s="33" t="s">
        <v>14</v>
      </c>
      <c r="E20" s="34" t="s">
        <v>14</v>
      </c>
      <c r="F20" s="35">
        <f t="shared" si="2"/>
        <v>0</v>
      </c>
      <c r="G20" s="35">
        <f t="shared" si="2"/>
        <v>0</v>
      </c>
      <c r="H20" s="35">
        <f t="shared" si="1"/>
        <v>0</v>
      </c>
      <c r="I20" s="35">
        <f t="shared" si="1"/>
        <v>0</v>
      </c>
      <c r="J20" s="35">
        <f t="shared" si="1"/>
        <v>0</v>
      </c>
      <c r="K20" s="35">
        <f t="shared" si="1"/>
        <v>0</v>
      </c>
      <c r="L20" s="35">
        <f t="shared" si="1"/>
        <v>0</v>
      </c>
      <c r="N20" s="40" t="e">
        <f t="shared" si="3"/>
        <v>#DIV/0!</v>
      </c>
    </row>
    <row r="21" spans="1:14" s="6" customFormat="1" ht="41.25" customHeight="1">
      <c r="A21" s="126" t="s">
        <v>198</v>
      </c>
      <c r="B21" s="115" t="s">
        <v>31</v>
      </c>
      <c r="C21" s="9" t="s">
        <v>32</v>
      </c>
      <c r="D21" s="9" t="s">
        <v>157</v>
      </c>
      <c r="E21" s="4">
        <v>16122.5</v>
      </c>
      <c r="F21" s="23" t="s">
        <v>14</v>
      </c>
      <c r="G21" s="23" t="s">
        <v>14</v>
      </c>
      <c r="H21" s="4">
        <f t="shared" ref="H21:H32" si="4">I21+J21+K21+L21</f>
        <v>0</v>
      </c>
      <c r="I21" s="17">
        <f>SUM(I22:I26)</f>
        <v>0</v>
      </c>
      <c r="J21" s="17">
        <f>SUM(J22:J26)</f>
        <v>0</v>
      </c>
      <c r="K21" s="17">
        <f>SUM(K22:K26)</f>
        <v>0</v>
      </c>
      <c r="L21" s="17">
        <f>SUM(L22:L26)</f>
        <v>0</v>
      </c>
      <c r="M21" s="20"/>
      <c r="N21" s="28">
        <f>SUM(N22:N26)</f>
        <v>0</v>
      </c>
    </row>
    <row r="22" spans="1:14" s="6" customFormat="1">
      <c r="A22" s="127"/>
      <c r="B22" s="19" t="s">
        <v>19</v>
      </c>
      <c r="C22" s="24" t="s">
        <v>14</v>
      </c>
      <c r="D22" s="24" t="s">
        <v>14</v>
      </c>
      <c r="E22" s="23" t="s">
        <v>14</v>
      </c>
      <c r="F22" s="4">
        <v>0</v>
      </c>
      <c r="G22" s="4">
        <f>H21</f>
        <v>0</v>
      </c>
      <c r="H22" s="4">
        <f t="shared" si="4"/>
        <v>0</v>
      </c>
      <c r="I22" s="25">
        <v>0</v>
      </c>
      <c r="J22" s="25">
        <v>0</v>
      </c>
      <c r="K22" s="25">
        <v>0</v>
      </c>
      <c r="L22" s="25">
        <v>0</v>
      </c>
      <c r="M22" s="20">
        <v>6.0168239999999997</v>
      </c>
      <c r="N22" s="7">
        <f t="shared" si="3"/>
        <v>0</v>
      </c>
    </row>
    <row r="23" spans="1:14" s="6" customFormat="1">
      <c r="A23" s="127"/>
      <c r="B23" s="19" t="s">
        <v>20</v>
      </c>
      <c r="C23" s="24" t="s">
        <v>14</v>
      </c>
      <c r="D23" s="24" t="s">
        <v>14</v>
      </c>
      <c r="E23" s="23" t="s">
        <v>14</v>
      </c>
      <c r="F23" s="4">
        <v>0</v>
      </c>
      <c r="G23" s="4">
        <f>G22-H22</f>
        <v>0</v>
      </c>
      <c r="H23" s="4">
        <f t="shared" si="4"/>
        <v>0</v>
      </c>
      <c r="I23" s="25">
        <v>0</v>
      </c>
      <c r="J23" s="25">
        <v>0</v>
      </c>
      <c r="K23" s="25">
        <v>0</v>
      </c>
      <c r="L23" s="25">
        <v>0</v>
      </c>
      <c r="M23" s="20">
        <v>6.3597829679999993</v>
      </c>
      <c r="N23" s="7">
        <f t="shared" si="3"/>
        <v>0</v>
      </c>
    </row>
    <row r="24" spans="1:14" s="6" customFormat="1">
      <c r="A24" s="127"/>
      <c r="B24" s="19" t="s">
        <v>28</v>
      </c>
      <c r="C24" s="24" t="s">
        <v>14</v>
      </c>
      <c r="D24" s="24" t="s">
        <v>14</v>
      </c>
      <c r="E24" s="23" t="s">
        <v>14</v>
      </c>
      <c r="F24" s="4">
        <f>G24/M24</f>
        <v>0</v>
      </c>
      <c r="G24" s="4">
        <f>G23-H23</f>
        <v>0</v>
      </c>
      <c r="H24" s="4">
        <f t="shared" si="4"/>
        <v>0</v>
      </c>
      <c r="I24" s="25">
        <v>0</v>
      </c>
      <c r="J24" s="25">
        <v>0</v>
      </c>
      <c r="K24" s="25">
        <v>0</v>
      </c>
      <c r="L24" s="25">
        <v>0</v>
      </c>
      <c r="M24" s="21">
        <v>6.7032112482719999</v>
      </c>
      <c r="N24" s="7">
        <f t="shared" si="3"/>
        <v>0</v>
      </c>
    </row>
    <row r="25" spans="1:14" s="6" customFormat="1">
      <c r="A25" s="127"/>
      <c r="B25" s="19" t="s">
        <v>29</v>
      </c>
      <c r="C25" s="24" t="s">
        <v>14</v>
      </c>
      <c r="D25" s="24" t="s">
        <v>14</v>
      </c>
      <c r="E25" s="23" t="s">
        <v>14</v>
      </c>
      <c r="F25" s="4">
        <f>G25/M25</f>
        <v>0</v>
      </c>
      <c r="G25" s="4">
        <f>G24-H24</f>
        <v>0</v>
      </c>
      <c r="H25" s="4">
        <f t="shared" si="4"/>
        <v>0</v>
      </c>
      <c r="I25" s="25">
        <v>0</v>
      </c>
      <c r="J25" s="25">
        <v>0</v>
      </c>
      <c r="K25" s="25">
        <v>0</v>
      </c>
      <c r="L25" s="25">
        <v>0</v>
      </c>
      <c r="M25" s="21">
        <v>7.0651846556786886</v>
      </c>
      <c r="N25" s="7">
        <f t="shared" si="3"/>
        <v>0</v>
      </c>
    </row>
    <row r="26" spans="1:14" s="6" customFormat="1">
      <c r="A26" s="127"/>
      <c r="B26" s="19" t="s">
        <v>30</v>
      </c>
      <c r="C26" s="24" t="s">
        <v>14</v>
      </c>
      <c r="D26" s="24" t="s">
        <v>14</v>
      </c>
      <c r="E26" s="23" t="s">
        <v>14</v>
      </c>
      <c r="F26" s="4">
        <f>G26/M26</f>
        <v>0</v>
      </c>
      <c r="G26" s="4">
        <f>G25-H25</f>
        <v>0</v>
      </c>
      <c r="H26" s="4">
        <f t="shared" si="4"/>
        <v>0</v>
      </c>
      <c r="I26" s="25">
        <v>0</v>
      </c>
      <c r="J26" s="25">
        <v>0</v>
      </c>
      <c r="K26" s="25">
        <v>0</v>
      </c>
      <c r="L26" s="25">
        <v>0</v>
      </c>
      <c r="M26" s="21">
        <v>7.4467046270853379</v>
      </c>
      <c r="N26" s="7">
        <f t="shared" si="3"/>
        <v>0</v>
      </c>
    </row>
    <row r="27" spans="1:14" s="38" customFormat="1" ht="93.75" customHeight="1">
      <c r="A27" s="133" t="s">
        <v>199</v>
      </c>
      <c r="B27" s="32" t="s">
        <v>165</v>
      </c>
      <c r="C27" s="33">
        <v>26.11</v>
      </c>
      <c r="D27" s="33" t="s">
        <v>62</v>
      </c>
      <c r="E27" s="34">
        <v>139890.61500265633</v>
      </c>
      <c r="F27" s="34" t="s">
        <v>14</v>
      </c>
      <c r="G27" s="34" t="s">
        <v>14</v>
      </c>
      <c r="H27" s="35">
        <f t="shared" si="4"/>
        <v>759880.8</v>
      </c>
      <c r="I27" s="53">
        <f>SUM(I28:I32)</f>
        <v>0</v>
      </c>
      <c r="J27" s="53">
        <f>SUM(J28:J32)</f>
        <v>759880.8</v>
      </c>
      <c r="K27" s="53">
        <f>SUM(K28:K32)</f>
        <v>0</v>
      </c>
      <c r="L27" s="53">
        <f>SUM(L28:L32)</f>
        <v>0</v>
      </c>
      <c r="M27" s="61"/>
      <c r="N27" s="37">
        <f>SUM(N28:N32)</f>
        <v>139890.61500265633</v>
      </c>
    </row>
    <row r="28" spans="1:14" s="38" customFormat="1">
      <c r="A28" s="134"/>
      <c r="B28" s="39" t="s">
        <v>19</v>
      </c>
      <c r="C28" s="33" t="s">
        <v>14</v>
      </c>
      <c r="D28" s="33" t="s">
        <v>14</v>
      </c>
      <c r="E28" s="34" t="s">
        <v>14</v>
      </c>
      <c r="F28" s="35">
        <f>G28/M28</f>
        <v>126292.67533835127</v>
      </c>
      <c r="G28" s="35">
        <f>H27</f>
        <v>759880.8</v>
      </c>
      <c r="H28" s="35">
        <f>I28+J28+K28+L28</f>
        <v>0</v>
      </c>
      <c r="I28" s="35">
        <v>0</v>
      </c>
      <c r="J28" s="35">
        <v>0</v>
      </c>
      <c r="K28" s="35">
        <v>0</v>
      </c>
      <c r="L28" s="35">
        <v>0</v>
      </c>
      <c r="M28" s="61">
        <v>6.0168239999999997</v>
      </c>
      <c r="N28" s="37">
        <f>150178.6/5.7</f>
        <v>26347.122807017546</v>
      </c>
    </row>
    <row r="29" spans="1:14" s="38" customFormat="1">
      <c r="A29" s="134"/>
      <c r="B29" s="39" t="s">
        <v>20</v>
      </c>
      <c r="C29" s="33" t="s">
        <v>14</v>
      </c>
      <c r="D29" s="33" t="s">
        <v>14</v>
      </c>
      <c r="E29" s="34" t="s">
        <v>14</v>
      </c>
      <c r="F29" s="35">
        <f>G29/M29</f>
        <v>119482.19048093783</v>
      </c>
      <c r="G29" s="35">
        <f>G28-H28</f>
        <v>759880.8</v>
      </c>
      <c r="H29" s="35">
        <f t="shared" si="4"/>
        <v>259880.8</v>
      </c>
      <c r="I29" s="35">
        <v>0</v>
      </c>
      <c r="J29" s="35">
        <v>259880.8</v>
      </c>
      <c r="K29" s="35">
        <f>'[1]3.4_дороги'!K121</f>
        <v>0</v>
      </c>
      <c r="L29" s="35">
        <f>'[1]3.4_дороги'!L121</f>
        <v>0</v>
      </c>
      <c r="M29" s="61">
        <v>6.3597829679999993</v>
      </c>
      <c r="N29" s="37">
        <f t="shared" si="3"/>
        <v>40863.155442193703</v>
      </c>
    </row>
    <row r="30" spans="1:14" s="38" customFormat="1">
      <c r="A30" s="134"/>
      <c r="B30" s="39" t="s">
        <v>28</v>
      </c>
      <c r="C30" s="33" t="s">
        <v>14</v>
      </c>
      <c r="D30" s="33" t="s">
        <v>14</v>
      </c>
      <c r="E30" s="34" t="s">
        <v>14</v>
      </c>
      <c r="F30" s="35">
        <f>G30/M30</f>
        <v>74591.114837518136</v>
      </c>
      <c r="G30" s="35">
        <f>G29-H29</f>
        <v>500000.00000000006</v>
      </c>
      <c r="H30" s="35">
        <f t="shared" si="4"/>
        <v>250000</v>
      </c>
      <c r="I30" s="35">
        <f>'[1]3.4_дороги'!I122</f>
        <v>0</v>
      </c>
      <c r="J30" s="35">
        <v>250000</v>
      </c>
      <c r="K30" s="35">
        <f>'[1]3.4_дороги'!K122</f>
        <v>0</v>
      </c>
      <c r="L30" s="35">
        <f>'[1]3.4_дороги'!L122</f>
        <v>0</v>
      </c>
      <c r="M30" s="62">
        <v>6.7032112482719999</v>
      </c>
      <c r="N30" s="37">
        <f t="shared" si="3"/>
        <v>37295.557418759068</v>
      </c>
    </row>
    <row r="31" spans="1:14" s="38" customFormat="1">
      <c r="A31" s="134"/>
      <c r="B31" s="39" t="s">
        <v>29</v>
      </c>
      <c r="C31" s="33" t="s">
        <v>14</v>
      </c>
      <c r="D31" s="33" t="s">
        <v>14</v>
      </c>
      <c r="E31" s="34" t="s">
        <v>14</v>
      </c>
      <c r="F31" s="35">
        <f>G31/M31</f>
        <v>35384.779334686027</v>
      </c>
      <c r="G31" s="35">
        <f>G30-H30</f>
        <v>250000.00000000006</v>
      </c>
      <c r="H31" s="35">
        <f t="shared" si="4"/>
        <v>250000</v>
      </c>
      <c r="I31" s="35">
        <f>'[1]3.4_дороги'!I123</f>
        <v>0</v>
      </c>
      <c r="J31" s="35">
        <v>250000</v>
      </c>
      <c r="K31" s="35">
        <f>'[1]3.4_дороги'!K123</f>
        <v>0</v>
      </c>
      <c r="L31" s="35">
        <f>'[1]3.4_дороги'!L123</f>
        <v>0</v>
      </c>
      <c r="M31" s="62">
        <v>7.0651846556786886</v>
      </c>
      <c r="N31" s="37">
        <f t="shared" si="3"/>
        <v>35384.77933468602</v>
      </c>
    </row>
    <row r="32" spans="1:14" s="38" customFormat="1">
      <c r="A32" s="134"/>
      <c r="B32" s="39" t="s">
        <v>30</v>
      </c>
      <c r="C32" s="33" t="s">
        <v>14</v>
      </c>
      <c r="D32" s="33" t="s">
        <v>14</v>
      </c>
      <c r="E32" s="34" t="s">
        <v>14</v>
      </c>
      <c r="F32" s="35">
        <f>G32/M32</f>
        <v>0</v>
      </c>
      <c r="G32" s="35">
        <f>G31-H31</f>
        <v>0</v>
      </c>
      <c r="H32" s="35">
        <f t="shared" si="4"/>
        <v>0</v>
      </c>
      <c r="I32" s="35">
        <f>'[1]3.4_дороги'!I124</f>
        <v>0</v>
      </c>
      <c r="J32" s="35">
        <f>'[1]3.4_дороги'!J124</f>
        <v>0</v>
      </c>
      <c r="K32" s="35">
        <f>'[1]3.4_дороги'!K124</f>
        <v>0</v>
      </c>
      <c r="L32" s="35">
        <f>'[1]3.4_дороги'!L124</f>
        <v>0</v>
      </c>
      <c r="M32" s="62">
        <v>7.4467046270853379</v>
      </c>
      <c r="N32" s="37">
        <f t="shared" si="3"/>
        <v>0</v>
      </c>
    </row>
    <row r="33" spans="1:14" s="60" customFormat="1" ht="39.75" customHeight="1">
      <c r="A33" s="133" t="s">
        <v>105</v>
      </c>
      <c r="B33" s="32" t="s">
        <v>97</v>
      </c>
      <c r="C33" s="33" t="s">
        <v>14</v>
      </c>
      <c r="D33" s="74" t="s">
        <v>4</v>
      </c>
      <c r="E33" s="34" t="s">
        <v>14</v>
      </c>
      <c r="F33" s="34" t="s">
        <v>14</v>
      </c>
      <c r="G33" s="34" t="s">
        <v>14</v>
      </c>
      <c r="H33" s="35">
        <f t="shared" ref="H33:L38" si="5">H39</f>
        <v>34708.476000000002</v>
      </c>
      <c r="I33" s="35">
        <f t="shared" si="5"/>
        <v>0</v>
      </c>
      <c r="J33" s="35">
        <f t="shared" si="5"/>
        <v>28403.7</v>
      </c>
      <c r="K33" s="35">
        <f t="shared" si="5"/>
        <v>6304.7759999999998</v>
      </c>
      <c r="L33" s="35">
        <f t="shared" si="5"/>
        <v>0</v>
      </c>
      <c r="M33" s="61"/>
      <c r="N33" s="37">
        <f>SUM(N34:N38)</f>
        <v>5627.7496292071592</v>
      </c>
    </row>
    <row r="34" spans="1:14" s="60" customFormat="1">
      <c r="A34" s="133"/>
      <c r="B34" s="39" t="s">
        <v>2</v>
      </c>
      <c r="C34" s="33" t="s">
        <v>14</v>
      </c>
      <c r="D34" s="33" t="s">
        <v>14</v>
      </c>
      <c r="E34" s="34" t="s">
        <v>14</v>
      </c>
      <c r="F34" s="35">
        <f t="shared" ref="F34:G38" si="6">F40</f>
        <v>5768.570927120355</v>
      </c>
      <c r="G34" s="35">
        <f t="shared" si="6"/>
        <v>34708.476000000002</v>
      </c>
      <c r="H34" s="35">
        <f t="shared" si="5"/>
        <v>18996.32</v>
      </c>
      <c r="I34" s="35">
        <f t="shared" si="5"/>
        <v>0</v>
      </c>
      <c r="J34" s="35">
        <f t="shared" si="5"/>
        <v>18403.7</v>
      </c>
      <c r="K34" s="35">
        <f t="shared" si="5"/>
        <v>592.62</v>
      </c>
      <c r="L34" s="35">
        <f t="shared" si="5"/>
        <v>0</v>
      </c>
      <c r="M34" s="61">
        <v>6.0168239999999997</v>
      </c>
      <c r="N34" s="40">
        <f t="shared" si="3"/>
        <v>3157.2005430107315</v>
      </c>
    </row>
    <row r="35" spans="1:14" s="60" customFormat="1">
      <c r="A35" s="133"/>
      <c r="B35" s="39" t="s">
        <v>0</v>
      </c>
      <c r="C35" s="33" t="s">
        <v>14</v>
      </c>
      <c r="D35" s="33" t="s">
        <v>14</v>
      </c>
      <c r="E35" s="34" t="s">
        <v>14</v>
      </c>
      <c r="F35" s="35">
        <f t="shared" si="6"/>
        <v>2470.5490861964277</v>
      </c>
      <c r="G35" s="35">
        <f t="shared" si="6"/>
        <v>15712.156000000003</v>
      </c>
      <c r="H35" s="35">
        <f t="shared" si="5"/>
        <v>15712.155999999999</v>
      </c>
      <c r="I35" s="35">
        <f t="shared" si="5"/>
        <v>0</v>
      </c>
      <c r="J35" s="35">
        <f t="shared" si="5"/>
        <v>10000</v>
      </c>
      <c r="K35" s="35">
        <f t="shared" si="5"/>
        <v>5712.1559999999999</v>
      </c>
      <c r="L35" s="35">
        <f t="shared" si="5"/>
        <v>0</v>
      </c>
      <c r="M35" s="61">
        <v>6.3597829679999993</v>
      </c>
      <c r="N35" s="40">
        <f t="shared" si="3"/>
        <v>2470.5490861964272</v>
      </c>
    </row>
    <row r="36" spans="1:14" s="60" customFormat="1">
      <c r="A36" s="133"/>
      <c r="B36" s="39" t="s">
        <v>28</v>
      </c>
      <c r="C36" s="33" t="s">
        <v>14</v>
      </c>
      <c r="D36" s="33" t="s">
        <v>14</v>
      </c>
      <c r="E36" s="34" t="s">
        <v>14</v>
      </c>
      <c r="F36" s="35">
        <f t="shared" si="6"/>
        <v>0</v>
      </c>
      <c r="G36" s="35">
        <f t="shared" si="6"/>
        <v>0</v>
      </c>
      <c r="H36" s="35">
        <f t="shared" si="5"/>
        <v>0</v>
      </c>
      <c r="I36" s="35">
        <f t="shared" si="5"/>
        <v>0</v>
      </c>
      <c r="J36" s="35">
        <f t="shared" si="5"/>
        <v>0</v>
      </c>
      <c r="K36" s="35">
        <f t="shared" si="5"/>
        <v>0</v>
      </c>
      <c r="L36" s="35">
        <f t="shared" si="5"/>
        <v>0</v>
      </c>
      <c r="M36" s="62">
        <v>6.7032112482719999</v>
      </c>
      <c r="N36" s="40">
        <f t="shared" si="3"/>
        <v>0</v>
      </c>
    </row>
    <row r="37" spans="1:14" s="60" customFormat="1">
      <c r="A37" s="133"/>
      <c r="B37" s="39" t="s">
        <v>29</v>
      </c>
      <c r="C37" s="33" t="s">
        <v>14</v>
      </c>
      <c r="D37" s="33" t="s">
        <v>14</v>
      </c>
      <c r="E37" s="34" t="s">
        <v>14</v>
      </c>
      <c r="F37" s="35">
        <f t="shared" si="6"/>
        <v>0</v>
      </c>
      <c r="G37" s="35">
        <f t="shared" si="6"/>
        <v>0</v>
      </c>
      <c r="H37" s="35">
        <f t="shared" si="5"/>
        <v>0</v>
      </c>
      <c r="I37" s="35">
        <f t="shared" si="5"/>
        <v>0</v>
      </c>
      <c r="J37" s="35">
        <f t="shared" si="5"/>
        <v>0</v>
      </c>
      <c r="K37" s="35">
        <f t="shared" si="5"/>
        <v>0</v>
      </c>
      <c r="L37" s="35">
        <f t="shared" si="5"/>
        <v>0</v>
      </c>
      <c r="M37" s="62">
        <v>7.0651846556786886</v>
      </c>
      <c r="N37" s="40">
        <f t="shared" si="3"/>
        <v>0</v>
      </c>
    </row>
    <row r="38" spans="1:14" s="60" customFormat="1">
      <c r="A38" s="133"/>
      <c r="B38" s="39" t="s">
        <v>30</v>
      </c>
      <c r="C38" s="33" t="s">
        <v>14</v>
      </c>
      <c r="D38" s="33" t="s">
        <v>14</v>
      </c>
      <c r="E38" s="34" t="s">
        <v>14</v>
      </c>
      <c r="F38" s="35">
        <f t="shared" si="6"/>
        <v>0</v>
      </c>
      <c r="G38" s="35">
        <f t="shared" si="6"/>
        <v>0</v>
      </c>
      <c r="H38" s="35">
        <f t="shared" si="5"/>
        <v>0</v>
      </c>
      <c r="I38" s="35">
        <f t="shared" si="5"/>
        <v>0</v>
      </c>
      <c r="J38" s="35">
        <f t="shared" si="5"/>
        <v>0</v>
      </c>
      <c r="K38" s="35">
        <f t="shared" si="5"/>
        <v>0</v>
      </c>
      <c r="L38" s="35">
        <f t="shared" si="5"/>
        <v>0</v>
      </c>
      <c r="M38" s="62">
        <v>7.4467046270853379</v>
      </c>
      <c r="N38" s="40">
        <f t="shared" si="3"/>
        <v>0</v>
      </c>
    </row>
    <row r="39" spans="1:14" s="6" customFormat="1" ht="127.5">
      <c r="A39" s="136" t="s">
        <v>98</v>
      </c>
      <c r="B39" s="14" t="s">
        <v>96</v>
      </c>
      <c r="C39" s="73" t="s">
        <v>213</v>
      </c>
      <c r="D39" s="73" t="s">
        <v>4</v>
      </c>
      <c r="E39" s="4">
        <v>12909.743400660336</v>
      </c>
      <c r="F39" s="23" t="s">
        <v>14</v>
      </c>
      <c r="G39" s="23" t="s">
        <v>14</v>
      </c>
      <c r="H39" s="4">
        <f t="shared" ref="H39:H44" si="7">I39+J39+K39+L39</f>
        <v>34708.476000000002</v>
      </c>
      <c r="I39" s="17">
        <f>SUM(I40:I44)</f>
        <v>0</v>
      </c>
      <c r="J39" s="17">
        <f>SUM(J40:J44)</f>
        <v>28403.7</v>
      </c>
      <c r="K39" s="17">
        <f>SUM(K40:K44)</f>
        <v>6304.7759999999998</v>
      </c>
      <c r="L39" s="17">
        <f>SUM(L40:L44)</f>
        <v>0</v>
      </c>
      <c r="M39" s="20"/>
      <c r="N39" s="28">
        <f>SUM(N40:N44)</f>
        <v>5627.7496292071592</v>
      </c>
    </row>
    <row r="40" spans="1:14" s="6" customFormat="1">
      <c r="A40" s="137"/>
      <c r="B40" s="19" t="s">
        <v>2</v>
      </c>
      <c r="C40" s="24" t="s">
        <v>14</v>
      </c>
      <c r="D40" s="24" t="s">
        <v>14</v>
      </c>
      <c r="E40" s="23" t="s">
        <v>14</v>
      </c>
      <c r="F40" s="4">
        <f>G40/M40</f>
        <v>5768.570927120355</v>
      </c>
      <c r="G40" s="4">
        <f>H39</f>
        <v>34708.476000000002</v>
      </c>
      <c r="H40" s="4">
        <f t="shared" si="7"/>
        <v>18996.32</v>
      </c>
      <c r="I40" s="4">
        <v>0</v>
      </c>
      <c r="J40" s="4">
        <v>18403.7</v>
      </c>
      <c r="K40" s="43">
        <v>592.62</v>
      </c>
      <c r="L40" s="4">
        <v>0</v>
      </c>
      <c r="M40" s="20">
        <v>6.0168239999999997</v>
      </c>
      <c r="N40" s="7">
        <f t="shared" si="3"/>
        <v>3157.2005430107315</v>
      </c>
    </row>
    <row r="41" spans="1:14" s="6" customFormat="1">
      <c r="A41" s="137"/>
      <c r="B41" s="19" t="s">
        <v>0</v>
      </c>
      <c r="C41" s="24" t="s">
        <v>14</v>
      </c>
      <c r="D41" s="24" t="s">
        <v>14</v>
      </c>
      <c r="E41" s="23" t="s">
        <v>14</v>
      </c>
      <c r="F41" s="4">
        <f>G41/M41</f>
        <v>2470.5490861964277</v>
      </c>
      <c r="G41" s="4">
        <f>G40-H40</f>
        <v>15712.156000000003</v>
      </c>
      <c r="H41" s="4">
        <f t="shared" si="7"/>
        <v>15712.155999999999</v>
      </c>
      <c r="I41" s="4">
        <v>0</v>
      </c>
      <c r="J41" s="4">
        <v>10000</v>
      </c>
      <c r="K41" s="4">
        <v>5712.1559999999999</v>
      </c>
      <c r="L41" s="4">
        <v>0</v>
      </c>
      <c r="M41" s="20">
        <v>6.3597829679999993</v>
      </c>
      <c r="N41" s="7">
        <f t="shared" si="3"/>
        <v>2470.5490861964272</v>
      </c>
    </row>
    <row r="42" spans="1:14" s="6" customFormat="1">
      <c r="A42" s="137"/>
      <c r="B42" s="19" t="s">
        <v>28</v>
      </c>
      <c r="C42" s="24" t="s">
        <v>14</v>
      </c>
      <c r="D42" s="24" t="s">
        <v>14</v>
      </c>
      <c r="E42" s="23" t="s">
        <v>14</v>
      </c>
      <c r="F42" s="4">
        <f>G42/M42</f>
        <v>0</v>
      </c>
      <c r="G42" s="4">
        <f>G41-H41</f>
        <v>0</v>
      </c>
      <c r="H42" s="4">
        <f t="shared" si="7"/>
        <v>0</v>
      </c>
      <c r="I42" s="4">
        <v>0</v>
      </c>
      <c r="J42" s="4">
        <v>0</v>
      </c>
      <c r="K42" s="4">
        <v>0</v>
      </c>
      <c r="L42" s="4">
        <v>0</v>
      </c>
      <c r="M42" s="21">
        <v>6.7032112482719999</v>
      </c>
      <c r="N42" s="7">
        <f t="shared" si="3"/>
        <v>0</v>
      </c>
    </row>
    <row r="43" spans="1:14" s="6" customFormat="1">
      <c r="A43" s="137"/>
      <c r="B43" s="19" t="s">
        <v>29</v>
      </c>
      <c r="C43" s="24" t="s">
        <v>14</v>
      </c>
      <c r="D43" s="24" t="s">
        <v>14</v>
      </c>
      <c r="E43" s="23" t="s">
        <v>14</v>
      </c>
      <c r="F43" s="4">
        <f>G43/M43</f>
        <v>0</v>
      </c>
      <c r="G43" s="4">
        <f>G42-H42</f>
        <v>0</v>
      </c>
      <c r="H43" s="4">
        <f t="shared" si="7"/>
        <v>0</v>
      </c>
      <c r="I43" s="4">
        <v>0</v>
      </c>
      <c r="J43" s="4">
        <v>0</v>
      </c>
      <c r="K43" s="4">
        <v>0</v>
      </c>
      <c r="L43" s="4">
        <v>0</v>
      </c>
      <c r="M43" s="21">
        <v>7.0651846556786886</v>
      </c>
      <c r="N43" s="7">
        <f t="shared" si="3"/>
        <v>0</v>
      </c>
    </row>
    <row r="44" spans="1:14" s="6" customFormat="1">
      <c r="A44" s="138"/>
      <c r="B44" s="19" t="s">
        <v>30</v>
      </c>
      <c r="C44" s="24" t="s">
        <v>14</v>
      </c>
      <c r="D44" s="24" t="s">
        <v>14</v>
      </c>
      <c r="E44" s="23" t="s">
        <v>14</v>
      </c>
      <c r="F44" s="4">
        <f>G44/M44</f>
        <v>0</v>
      </c>
      <c r="G44" s="4">
        <f>G43-H43</f>
        <v>0</v>
      </c>
      <c r="H44" s="4">
        <f t="shared" si="7"/>
        <v>0</v>
      </c>
      <c r="I44" s="4">
        <v>0</v>
      </c>
      <c r="J44" s="4">
        <v>0</v>
      </c>
      <c r="K44" s="4">
        <v>0</v>
      </c>
      <c r="L44" s="4">
        <v>0</v>
      </c>
      <c r="M44" s="21">
        <v>7.4467046270853379</v>
      </c>
      <c r="N44" s="7">
        <f t="shared" si="3"/>
        <v>0</v>
      </c>
    </row>
    <row r="45" spans="1:14" s="60" customFormat="1" ht="96" customHeight="1">
      <c r="A45" s="139" t="s">
        <v>180</v>
      </c>
      <c r="B45" s="94" t="s">
        <v>181</v>
      </c>
      <c r="C45" s="33" t="s">
        <v>14</v>
      </c>
      <c r="D45" s="95" t="s">
        <v>131</v>
      </c>
      <c r="E45" s="34" t="s">
        <v>14</v>
      </c>
      <c r="F45" s="34" t="s">
        <v>14</v>
      </c>
      <c r="G45" s="34" t="s">
        <v>14</v>
      </c>
      <c r="H45" s="35">
        <f t="shared" ref="G45:L46" si="8">H51+H57</f>
        <v>244635.75999999998</v>
      </c>
      <c r="I45" s="35">
        <f t="shared" si="8"/>
        <v>0</v>
      </c>
      <c r="J45" s="35">
        <f t="shared" si="8"/>
        <v>232935.75999999998</v>
      </c>
      <c r="K45" s="35">
        <f t="shared" si="8"/>
        <v>11700</v>
      </c>
      <c r="L45" s="35">
        <f t="shared" si="8"/>
        <v>0</v>
      </c>
      <c r="M45" s="61"/>
      <c r="N45" s="37">
        <f>SUM(N46:N50)</f>
        <v>34337.412288858541</v>
      </c>
    </row>
    <row r="46" spans="1:14" s="60" customFormat="1">
      <c r="A46" s="140"/>
      <c r="B46" s="39" t="s">
        <v>2</v>
      </c>
      <c r="C46" s="33" t="s">
        <v>14</v>
      </c>
      <c r="D46" s="33" t="s">
        <v>14</v>
      </c>
      <c r="E46" s="34" t="s">
        <v>14</v>
      </c>
      <c r="F46" s="35">
        <f>F52+F58</f>
        <v>3476.0531469758798</v>
      </c>
      <c r="G46" s="35">
        <f t="shared" si="8"/>
        <v>20914.8</v>
      </c>
      <c r="H46" s="35">
        <f t="shared" si="8"/>
        <v>20914.8</v>
      </c>
      <c r="I46" s="35">
        <f t="shared" si="8"/>
        <v>0</v>
      </c>
      <c r="J46" s="35">
        <f t="shared" si="8"/>
        <v>11214.8</v>
      </c>
      <c r="K46" s="35">
        <f t="shared" si="8"/>
        <v>9700</v>
      </c>
      <c r="L46" s="35">
        <f t="shared" si="8"/>
        <v>0</v>
      </c>
      <c r="M46" s="61">
        <v>6.0168239999999997</v>
      </c>
      <c r="N46" s="40">
        <f>H46/M46</f>
        <v>3476.0531469758798</v>
      </c>
    </row>
    <row r="47" spans="1:14" s="60" customFormat="1">
      <c r="A47" s="140"/>
      <c r="B47" s="39" t="s">
        <v>0</v>
      </c>
      <c r="C47" s="33" t="s">
        <v>14</v>
      </c>
      <c r="D47" s="33" t="s">
        <v>14</v>
      </c>
      <c r="E47" s="34" t="s">
        <v>14</v>
      </c>
      <c r="F47" s="35">
        <f t="shared" ref="F47:L50" si="9">F53+F59</f>
        <v>0</v>
      </c>
      <c r="G47" s="35">
        <f t="shared" si="9"/>
        <v>0</v>
      </c>
      <c r="H47" s="35">
        <f t="shared" si="9"/>
        <v>0</v>
      </c>
      <c r="I47" s="35">
        <f t="shared" si="9"/>
        <v>0</v>
      </c>
      <c r="J47" s="35">
        <f t="shared" si="9"/>
        <v>0</v>
      </c>
      <c r="K47" s="35">
        <f t="shared" si="9"/>
        <v>0</v>
      </c>
      <c r="L47" s="35">
        <f t="shared" si="9"/>
        <v>0</v>
      </c>
      <c r="M47" s="61">
        <v>6.3597829679999993</v>
      </c>
      <c r="N47" s="40">
        <f>H47/M47</f>
        <v>0</v>
      </c>
    </row>
    <row r="48" spans="1:14" s="60" customFormat="1">
      <c r="A48" s="140"/>
      <c r="B48" s="39" t="s">
        <v>28</v>
      </c>
      <c r="C48" s="33" t="s">
        <v>14</v>
      </c>
      <c r="D48" s="33" t="s">
        <v>14</v>
      </c>
      <c r="E48" s="34" t="s">
        <v>14</v>
      </c>
      <c r="F48" s="35">
        <f t="shared" si="9"/>
        <v>0</v>
      </c>
      <c r="G48" s="35">
        <f t="shared" si="9"/>
        <v>0</v>
      </c>
      <c r="H48" s="35">
        <f t="shared" si="9"/>
        <v>0</v>
      </c>
      <c r="I48" s="35">
        <f t="shared" si="9"/>
        <v>0</v>
      </c>
      <c r="J48" s="35">
        <f t="shared" si="9"/>
        <v>0</v>
      </c>
      <c r="K48" s="35">
        <f t="shared" si="9"/>
        <v>0</v>
      </c>
      <c r="L48" s="35">
        <f t="shared" si="9"/>
        <v>0</v>
      </c>
      <c r="M48" s="62">
        <v>6.7032112482719999</v>
      </c>
      <c r="N48" s="40">
        <f>H48/M48</f>
        <v>0</v>
      </c>
    </row>
    <row r="49" spans="1:16" s="60" customFormat="1">
      <c r="A49" s="140"/>
      <c r="B49" s="39" t="s">
        <v>29</v>
      </c>
      <c r="C49" s="33" t="s">
        <v>14</v>
      </c>
      <c r="D49" s="33" t="s">
        <v>14</v>
      </c>
      <c r="E49" s="34" t="s">
        <v>14</v>
      </c>
      <c r="F49" s="35">
        <f t="shared" si="9"/>
        <v>31665.267208576468</v>
      </c>
      <c r="G49" s="35">
        <f t="shared" si="9"/>
        <v>223720.95999999999</v>
      </c>
      <c r="H49" s="35">
        <f t="shared" si="9"/>
        <v>112860.48</v>
      </c>
      <c r="I49" s="35">
        <f t="shared" si="9"/>
        <v>0</v>
      </c>
      <c r="J49" s="35">
        <f t="shared" si="9"/>
        <v>110860.48</v>
      </c>
      <c r="K49" s="35">
        <f t="shared" si="9"/>
        <v>2000</v>
      </c>
      <c r="L49" s="35">
        <f t="shared" si="9"/>
        <v>0</v>
      </c>
      <c r="M49" s="62">
        <v>7.0651846556786886</v>
      </c>
      <c r="N49" s="40">
        <f>H49/M49</f>
        <v>15974.172721626977</v>
      </c>
    </row>
    <row r="50" spans="1:16" s="60" customFormat="1">
      <c r="A50" s="141"/>
      <c r="B50" s="39" t="s">
        <v>30</v>
      </c>
      <c r="C50" s="33" t="s">
        <v>14</v>
      </c>
      <c r="D50" s="33" t="s">
        <v>14</v>
      </c>
      <c r="E50" s="34" t="s">
        <v>14</v>
      </c>
      <c r="F50" s="35">
        <f t="shared" si="9"/>
        <v>14887.186420255683</v>
      </c>
      <c r="G50" s="35">
        <f t="shared" si="9"/>
        <v>110860.48</v>
      </c>
      <c r="H50" s="35">
        <f t="shared" si="9"/>
        <v>110860.48</v>
      </c>
      <c r="I50" s="35">
        <f t="shared" si="9"/>
        <v>0</v>
      </c>
      <c r="J50" s="35">
        <f t="shared" si="9"/>
        <v>110860.48</v>
      </c>
      <c r="K50" s="35">
        <f t="shared" si="9"/>
        <v>0</v>
      </c>
      <c r="L50" s="35">
        <f t="shared" si="9"/>
        <v>0</v>
      </c>
      <c r="M50" s="62">
        <v>7.4467046270853379</v>
      </c>
      <c r="N50" s="40">
        <f>H50/M50</f>
        <v>14887.186420255683</v>
      </c>
    </row>
    <row r="51" spans="1:16" s="6" customFormat="1" ht="58.5" customHeight="1">
      <c r="A51" s="136" t="s">
        <v>182</v>
      </c>
      <c r="B51" s="19" t="s">
        <v>148</v>
      </c>
      <c r="C51" s="9" t="s">
        <v>149</v>
      </c>
      <c r="D51" s="9" t="s">
        <v>106</v>
      </c>
      <c r="E51" s="4">
        <v>30861.359141882662</v>
      </c>
      <c r="F51" s="23" t="s">
        <v>14</v>
      </c>
      <c r="G51" s="23" t="s">
        <v>14</v>
      </c>
      <c r="H51" s="4">
        <f t="shared" ref="H51:H62" si="10">I51+J51+K51+L51</f>
        <v>223720.95999999999</v>
      </c>
      <c r="I51" s="4">
        <f>SUM(I52:I56)</f>
        <v>0</v>
      </c>
      <c r="J51" s="4">
        <f>SUM(J52:J56)</f>
        <v>221720.95999999999</v>
      </c>
      <c r="K51" s="4">
        <f>SUM(K52:K56)</f>
        <v>2000</v>
      </c>
      <c r="L51" s="4">
        <f>SUM(L52:L56)</f>
        <v>0</v>
      </c>
      <c r="M51" s="20"/>
      <c r="N51" s="7">
        <f>SUM(N52:N56)</f>
        <v>30861.359141882662</v>
      </c>
      <c r="P51" s="7"/>
    </row>
    <row r="52" spans="1:16" s="6" customFormat="1">
      <c r="A52" s="137"/>
      <c r="B52" s="19" t="s">
        <v>2</v>
      </c>
      <c r="C52" s="24" t="s">
        <v>14</v>
      </c>
      <c r="D52" s="24" t="s">
        <v>14</v>
      </c>
      <c r="E52" s="23" t="s">
        <v>14</v>
      </c>
      <c r="F52" s="4">
        <f>G52/M52</f>
        <v>0</v>
      </c>
      <c r="G52" s="4">
        <v>0</v>
      </c>
      <c r="H52" s="4">
        <f t="shared" si="10"/>
        <v>0</v>
      </c>
      <c r="I52" s="4">
        <v>0</v>
      </c>
      <c r="J52" s="4">
        <v>0</v>
      </c>
      <c r="K52" s="4">
        <v>0</v>
      </c>
      <c r="L52" s="4">
        <v>0</v>
      </c>
      <c r="M52" s="20">
        <v>6.0168239999999997</v>
      </c>
      <c r="N52" s="7">
        <f>H52/M52</f>
        <v>0</v>
      </c>
    </row>
    <row r="53" spans="1:16" s="6" customFormat="1">
      <c r="A53" s="137"/>
      <c r="B53" s="19" t="s">
        <v>0</v>
      </c>
      <c r="C53" s="24" t="s">
        <v>14</v>
      </c>
      <c r="D53" s="24" t="s">
        <v>14</v>
      </c>
      <c r="E53" s="23" t="s">
        <v>14</v>
      </c>
      <c r="F53" s="4">
        <f>G53/M53</f>
        <v>0</v>
      </c>
      <c r="G53" s="4">
        <v>0</v>
      </c>
      <c r="H53" s="4">
        <f t="shared" si="10"/>
        <v>0</v>
      </c>
      <c r="I53" s="4">
        <v>0</v>
      </c>
      <c r="J53" s="4">
        <v>0</v>
      </c>
      <c r="K53" s="25">
        <v>0</v>
      </c>
      <c r="L53" s="4">
        <v>0</v>
      </c>
      <c r="M53" s="20">
        <v>6.3597829679999993</v>
      </c>
      <c r="N53" s="7">
        <f>H53/M53</f>
        <v>0</v>
      </c>
      <c r="P53" s="10"/>
    </row>
    <row r="54" spans="1:16" s="6" customFormat="1">
      <c r="A54" s="137"/>
      <c r="B54" s="19" t="s">
        <v>28</v>
      </c>
      <c r="C54" s="24" t="s">
        <v>14</v>
      </c>
      <c r="D54" s="24" t="s">
        <v>14</v>
      </c>
      <c r="E54" s="23" t="s">
        <v>14</v>
      </c>
      <c r="F54" s="4">
        <f>G54/M54</f>
        <v>0</v>
      </c>
      <c r="G54" s="4">
        <f>G53-H53</f>
        <v>0</v>
      </c>
      <c r="H54" s="4">
        <f t="shared" si="10"/>
        <v>0</v>
      </c>
      <c r="I54" s="4">
        <v>0</v>
      </c>
      <c r="J54" s="4">
        <v>0</v>
      </c>
      <c r="K54" s="25">
        <v>0</v>
      </c>
      <c r="L54" s="4">
        <v>0</v>
      </c>
      <c r="M54" s="21">
        <v>6.7032112482719999</v>
      </c>
      <c r="N54" s="7">
        <f>H54/M54</f>
        <v>0</v>
      </c>
    </row>
    <row r="55" spans="1:16" s="6" customFormat="1">
      <c r="A55" s="137"/>
      <c r="B55" s="19" t="s">
        <v>29</v>
      </c>
      <c r="C55" s="24" t="s">
        <v>14</v>
      </c>
      <c r="D55" s="24" t="s">
        <v>14</v>
      </c>
      <c r="E55" s="23" t="s">
        <v>14</v>
      </c>
      <c r="F55" s="4">
        <f>G55/M55</f>
        <v>31665.267208576468</v>
      </c>
      <c r="G55" s="4">
        <f>H51</f>
        <v>223720.95999999999</v>
      </c>
      <c r="H55" s="4">
        <f t="shared" si="10"/>
        <v>112860.48</v>
      </c>
      <c r="I55" s="4">
        <v>0</v>
      </c>
      <c r="J55" s="4">
        <v>110860.48</v>
      </c>
      <c r="K55" s="25">
        <v>2000</v>
      </c>
      <c r="L55" s="4">
        <v>0</v>
      </c>
      <c r="M55" s="21">
        <v>7.0651846556786886</v>
      </c>
      <c r="N55" s="7">
        <f>H55/M55</f>
        <v>15974.172721626977</v>
      </c>
    </row>
    <row r="56" spans="1:16" s="6" customFormat="1">
      <c r="A56" s="138"/>
      <c r="B56" s="19" t="s">
        <v>30</v>
      </c>
      <c r="C56" s="24" t="s">
        <v>14</v>
      </c>
      <c r="D56" s="24" t="s">
        <v>14</v>
      </c>
      <c r="E56" s="23" t="s">
        <v>14</v>
      </c>
      <c r="F56" s="4">
        <f>G56/M56</f>
        <v>14887.186420255683</v>
      </c>
      <c r="G56" s="4">
        <f>G55-H55</f>
        <v>110860.48</v>
      </c>
      <c r="H56" s="4">
        <f t="shared" si="10"/>
        <v>110860.48</v>
      </c>
      <c r="I56" s="4">
        <v>0</v>
      </c>
      <c r="J56" s="4">
        <v>110860.48</v>
      </c>
      <c r="K56" s="25">
        <v>0</v>
      </c>
      <c r="L56" s="4">
        <v>0</v>
      </c>
      <c r="M56" s="21">
        <v>7.4467046270853379</v>
      </c>
      <c r="N56" s="7">
        <f>H56/M56</f>
        <v>14887.186420255683</v>
      </c>
    </row>
    <row r="57" spans="1:16" s="6" customFormat="1" ht="114" customHeight="1">
      <c r="A57" s="136" t="s">
        <v>183</v>
      </c>
      <c r="B57" s="19" t="s">
        <v>144</v>
      </c>
      <c r="C57" s="9" t="s">
        <v>15</v>
      </c>
      <c r="D57" s="9">
        <v>2011</v>
      </c>
      <c r="E57" s="4">
        <f>F58</f>
        <v>3476.0531469758798</v>
      </c>
      <c r="F57" s="23" t="s">
        <v>14</v>
      </c>
      <c r="G57" s="23" t="s">
        <v>14</v>
      </c>
      <c r="H57" s="4">
        <f t="shared" si="10"/>
        <v>20914.8</v>
      </c>
      <c r="I57" s="4">
        <f>SUM(I58:I62)</f>
        <v>0</v>
      </c>
      <c r="J57" s="4">
        <f>SUM(J58:J62)</f>
        <v>11214.8</v>
      </c>
      <c r="K57" s="4">
        <f>SUM(K58:K62)</f>
        <v>9700</v>
      </c>
      <c r="L57" s="4">
        <f>SUM(L58:L62)</f>
        <v>0</v>
      </c>
      <c r="M57" s="20"/>
      <c r="N57" s="7">
        <f>SUM(N58:N62)</f>
        <v>3476.0531469758798</v>
      </c>
    </row>
    <row r="58" spans="1:16" s="6" customFormat="1">
      <c r="A58" s="137"/>
      <c r="B58" s="19" t="s">
        <v>2</v>
      </c>
      <c r="C58" s="24" t="s">
        <v>14</v>
      </c>
      <c r="D58" s="24" t="s">
        <v>14</v>
      </c>
      <c r="E58" s="23" t="s">
        <v>14</v>
      </c>
      <c r="F58" s="4">
        <f>G58/M58</f>
        <v>3476.0531469758798</v>
      </c>
      <c r="G58" s="4">
        <f>H58</f>
        <v>20914.8</v>
      </c>
      <c r="H58" s="4">
        <f t="shared" si="10"/>
        <v>20914.8</v>
      </c>
      <c r="I58" s="4">
        <v>0</v>
      </c>
      <c r="J58" s="4">
        <v>11214.8</v>
      </c>
      <c r="K58" s="25">
        <v>9700</v>
      </c>
      <c r="L58" s="4">
        <v>0</v>
      </c>
      <c r="M58" s="20">
        <v>6.0168239999999997</v>
      </c>
      <c r="N58" s="7">
        <f t="shared" ref="N58:N72" si="11">H58/M58</f>
        <v>3476.0531469758798</v>
      </c>
    </row>
    <row r="59" spans="1:16" s="6" customFormat="1">
      <c r="A59" s="137"/>
      <c r="B59" s="19" t="s">
        <v>0</v>
      </c>
      <c r="C59" s="24" t="s">
        <v>14</v>
      </c>
      <c r="D59" s="24" t="s">
        <v>14</v>
      </c>
      <c r="E59" s="23" t="s">
        <v>14</v>
      </c>
      <c r="F59" s="4">
        <f>G59/M59</f>
        <v>0</v>
      </c>
      <c r="G59" s="4">
        <f>G58-H58</f>
        <v>0</v>
      </c>
      <c r="H59" s="4">
        <f t="shared" si="10"/>
        <v>0</v>
      </c>
      <c r="I59" s="4">
        <v>0</v>
      </c>
      <c r="J59" s="4">
        <v>0</v>
      </c>
      <c r="K59" s="25">
        <v>0</v>
      </c>
      <c r="L59" s="4">
        <v>0</v>
      </c>
      <c r="M59" s="20">
        <v>6.3597829679999993</v>
      </c>
      <c r="N59" s="7">
        <f t="shared" si="11"/>
        <v>0</v>
      </c>
    </row>
    <row r="60" spans="1:16" s="6" customFormat="1">
      <c r="A60" s="137"/>
      <c r="B60" s="19" t="s">
        <v>28</v>
      </c>
      <c r="C60" s="24" t="s">
        <v>14</v>
      </c>
      <c r="D60" s="24" t="s">
        <v>14</v>
      </c>
      <c r="E60" s="23" t="s">
        <v>14</v>
      </c>
      <c r="F60" s="4">
        <f>G60/M60</f>
        <v>0</v>
      </c>
      <c r="G60" s="4">
        <f>G59-H59</f>
        <v>0</v>
      </c>
      <c r="H60" s="4">
        <f t="shared" si="10"/>
        <v>0</v>
      </c>
      <c r="I60" s="4">
        <v>0</v>
      </c>
      <c r="J60" s="4">
        <v>0</v>
      </c>
      <c r="K60" s="25">
        <v>0</v>
      </c>
      <c r="L60" s="4">
        <v>0</v>
      </c>
      <c r="M60" s="21">
        <v>6.7032112482719999</v>
      </c>
      <c r="N60" s="7">
        <f t="shared" si="11"/>
        <v>0</v>
      </c>
    </row>
    <row r="61" spans="1:16" s="6" customFormat="1">
      <c r="A61" s="137"/>
      <c r="B61" s="19" t="s">
        <v>29</v>
      </c>
      <c r="C61" s="24" t="s">
        <v>14</v>
      </c>
      <c r="D61" s="24" t="s">
        <v>14</v>
      </c>
      <c r="E61" s="23" t="s">
        <v>14</v>
      </c>
      <c r="F61" s="4">
        <f>G61/M61</f>
        <v>0</v>
      </c>
      <c r="G61" s="4">
        <f>G60-H60</f>
        <v>0</v>
      </c>
      <c r="H61" s="4">
        <f t="shared" si="10"/>
        <v>0</v>
      </c>
      <c r="I61" s="4">
        <v>0</v>
      </c>
      <c r="J61" s="4">
        <v>0</v>
      </c>
      <c r="K61" s="25">
        <v>0</v>
      </c>
      <c r="L61" s="4">
        <v>0</v>
      </c>
      <c r="M61" s="21">
        <v>7.0651846556786886</v>
      </c>
      <c r="N61" s="7">
        <f>H61/M61</f>
        <v>0</v>
      </c>
    </row>
    <row r="62" spans="1:16" s="6" customFormat="1">
      <c r="A62" s="138"/>
      <c r="B62" s="19" t="s">
        <v>30</v>
      </c>
      <c r="C62" s="24" t="s">
        <v>14</v>
      </c>
      <c r="D62" s="24" t="s">
        <v>14</v>
      </c>
      <c r="E62" s="23" t="s">
        <v>14</v>
      </c>
      <c r="F62" s="4">
        <f>G62/M62</f>
        <v>0</v>
      </c>
      <c r="G62" s="4">
        <f>G61-H61</f>
        <v>0</v>
      </c>
      <c r="H62" s="4">
        <f t="shared" si="10"/>
        <v>0</v>
      </c>
      <c r="I62" s="4">
        <v>0</v>
      </c>
      <c r="J62" s="4">
        <v>0</v>
      </c>
      <c r="K62" s="25">
        <v>0</v>
      </c>
      <c r="L62" s="4">
        <v>0</v>
      </c>
      <c r="M62" s="21">
        <v>7.4467046270853379</v>
      </c>
      <c r="N62" s="7">
        <f>H62/M62</f>
        <v>0</v>
      </c>
    </row>
    <row r="63" spans="1:16" s="60" customFormat="1" ht="55.5" customHeight="1">
      <c r="A63" s="133" t="s">
        <v>132</v>
      </c>
      <c r="B63" s="32" t="s">
        <v>231</v>
      </c>
      <c r="C63" s="33" t="s">
        <v>14</v>
      </c>
      <c r="D63" s="74" t="s">
        <v>157</v>
      </c>
      <c r="E63" s="34" t="s">
        <v>14</v>
      </c>
      <c r="F63" s="34" t="s">
        <v>14</v>
      </c>
      <c r="G63" s="34" t="s">
        <v>14</v>
      </c>
      <c r="H63" s="35">
        <f t="shared" ref="G63:L64" si="12">H69</f>
        <v>90</v>
      </c>
      <c r="I63" s="35">
        <f t="shared" si="12"/>
        <v>0</v>
      </c>
      <c r="J63" s="35">
        <f t="shared" si="12"/>
        <v>0</v>
      </c>
      <c r="K63" s="35">
        <f t="shared" si="12"/>
        <v>90</v>
      </c>
      <c r="L63" s="35">
        <f t="shared" si="12"/>
        <v>0</v>
      </c>
      <c r="M63" s="61"/>
      <c r="N63" s="37">
        <f>SUM(N64:N68)</f>
        <v>14.958057606471455</v>
      </c>
    </row>
    <row r="64" spans="1:16" s="60" customFormat="1">
      <c r="A64" s="133"/>
      <c r="B64" s="39" t="s">
        <v>2</v>
      </c>
      <c r="C64" s="33" t="s">
        <v>14</v>
      </c>
      <c r="D64" s="33" t="s">
        <v>14</v>
      </c>
      <c r="E64" s="34" t="s">
        <v>14</v>
      </c>
      <c r="F64" s="35">
        <f>F70</f>
        <v>14.958057606471455</v>
      </c>
      <c r="G64" s="35">
        <f t="shared" si="12"/>
        <v>90</v>
      </c>
      <c r="H64" s="35">
        <f t="shared" si="12"/>
        <v>90</v>
      </c>
      <c r="I64" s="35">
        <f t="shared" si="12"/>
        <v>0</v>
      </c>
      <c r="J64" s="35">
        <f t="shared" si="12"/>
        <v>0</v>
      </c>
      <c r="K64" s="35">
        <f t="shared" si="12"/>
        <v>90</v>
      </c>
      <c r="L64" s="35">
        <f t="shared" si="12"/>
        <v>0</v>
      </c>
      <c r="M64" s="61">
        <v>6.0168239999999997</v>
      </c>
      <c r="N64" s="40">
        <f t="shared" si="11"/>
        <v>14.958057606471455</v>
      </c>
    </row>
    <row r="65" spans="1:14" s="60" customFormat="1">
      <c r="A65" s="133"/>
      <c r="B65" s="39" t="s">
        <v>0</v>
      </c>
      <c r="C65" s="33" t="s">
        <v>14</v>
      </c>
      <c r="D65" s="33" t="s">
        <v>14</v>
      </c>
      <c r="E65" s="34" t="s">
        <v>14</v>
      </c>
      <c r="F65" s="35">
        <f t="shared" ref="F65:L68" si="13">F71</f>
        <v>0</v>
      </c>
      <c r="G65" s="35">
        <f t="shared" si="13"/>
        <v>0</v>
      </c>
      <c r="H65" s="35">
        <f t="shared" si="13"/>
        <v>0</v>
      </c>
      <c r="I65" s="35">
        <f t="shared" si="13"/>
        <v>0</v>
      </c>
      <c r="J65" s="35">
        <f t="shared" si="13"/>
        <v>0</v>
      </c>
      <c r="K65" s="35">
        <f t="shared" si="13"/>
        <v>0</v>
      </c>
      <c r="L65" s="35">
        <f t="shared" si="13"/>
        <v>0</v>
      </c>
      <c r="M65" s="61">
        <v>6.3597829679999993</v>
      </c>
      <c r="N65" s="40">
        <f t="shared" si="11"/>
        <v>0</v>
      </c>
    </row>
    <row r="66" spans="1:14" s="60" customFormat="1">
      <c r="A66" s="133"/>
      <c r="B66" s="39" t="s">
        <v>28</v>
      </c>
      <c r="C66" s="33" t="s">
        <v>14</v>
      </c>
      <c r="D66" s="33" t="s">
        <v>14</v>
      </c>
      <c r="E66" s="34" t="s">
        <v>14</v>
      </c>
      <c r="F66" s="35">
        <f t="shared" si="13"/>
        <v>0</v>
      </c>
      <c r="G66" s="35">
        <f t="shared" si="13"/>
        <v>0</v>
      </c>
      <c r="H66" s="35">
        <f t="shared" si="13"/>
        <v>0</v>
      </c>
      <c r="I66" s="35">
        <f t="shared" si="13"/>
        <v>0</v>
      </c>
      <c r="J66" s="35">
        <f t="shared" si="13"/>
        <v>0</v>
      </c>
      <c r="K66" s="35">
        <f t="shared" si="13"/>
        <v>0</v>
      </c>
      <c r="L66" s="35">
        <f t="shared" si="13"/>
        <v>0</v>
      </c>
      <c r="M66" s="62">
        <v>6.7032112482719999</v>
      </c>
      <c r="N66" s="40">
        <f t="shared" si="11"/>
        <v>0</v>
      </c>
    </row>
    <row r="67" spans="1:14" s="60" customFormat="1">
      <c r="A67" s="133"/>
      <c r="B67" s="39" t="s">
        <v>29</v>
      </c>
      <c r="C67" s="33" t="s">
        <v>14</v>
      </c>
      <c r="D67" s="33" t="s">
        <v>14</v>
      </c>
      <c r="E67" s="34" t="s">
        <v>14</v>
      </c>
      <c r="F67" s="35">
        <f t="shared" si="13"/>
        <v>0</v>
      </c>
      <c r="G67" s="35">
        <f t="shared" si="13"/>
        <v>0</v>
      </c>
      <c r="H67" s="35">
        <f t="shared" si="13"/>
        <v>0</v>
      </c>
      <c r="I67" s="35">
        <f t="shared" si="13"/>
        <v>0</v>
      </c>
      <c r="J67" s="35">
        <f t="shared" si="13"/>
        <v>0</v>
      </c>
      <c r="K67" s="35">
        <f t="shared" si="13"/>
        <v>0</v>
      </c>
      <c r="L67" s="35">
        <f t="shared" si="13"/>
        <v>0</v>
      </c>
      <c r="M67" s="62">
        <v>7.0651846556786886</v>
      </c>
      <c r="N67" s="40">
        <f>H67/M67</f>
        <v>0</v>
      </c>
    </row>
    <row r="68" spans="1:14" s="60" customFormat="1">
      <c r="A68" s="133"/>
      <c r="B68" s="39" t="s">
        <v>30</v>
      </c>
      <c r="C68" s="33" t="s">
        <v>14</v>
      </c>
      <c r="D68" s="33" t="s">
        <v>14</v>
      </c>
      <c r="E68" s="34" t="s">
        <v>14</v>
      </c>
      <c r="F68" s="35">
        <f t="shared" si="13"/>
        <v>0</v>
      </c>
      <c r="G68" s="35">
        <f t="shared" si="13"/>
        <v>0</v>
      </c>
      <c r="H68" s="35">
        <f t="shared" si="13"/>
        <v>0</v>
      </c>
      <c r="I68" s="35">
        <f t="shared" si="13"/>
        <v>0</v>
      </c>
      <c r="J68" s="35">
        <f t="shared" si="13"/>
        <v>0</v>
      </c>
      <c r="K68" s="35">
        <f t="shared" si="13"/>
        <v>0</v>
      </c>
      <c r="L68" s="35">
        <f t="shared" si="13"/>
        <v>0</v>
      </c>
      <c r="M68" s="62">
        <v>7.4467046270853379</v>
      </c>
      <c r="N68" s="40">
        <f>H68/M68</f>
        <v>0</v>
      </c>
    </row>
    <row r="69" spans="1:14" s="6" customFormat="1" ht="27.75" customHeight="1">
      <c r="A69" s="136" t="s">
        <v>142</v>
      </c>
      <c r="B69" s="14" t="s">
        <v>184</v>
      </c>
      <c r="C69" s="73" t="s">
        <v>15</v>
      </c>
      <c r="D69" s="73" t="s">
        <v>157</v>
      </c>
      <c r="E69" s="4">
        <v>831.00320035952529</v>
      </c>
      <c r="F69" s="23" t="s">
        <v>14</v>
      </c>
      <c r="G69" s="23" t="s">
        <v>14</v>
      </c>
      <c r="H69" s="4">
        <f t="shared" ref="H69:H74" si="14">SUM(I69:L69)</f>
        <v>90</v>
      </c>
      <c r="I69" s="4">
        <f>SUM(I70:I74)</f>
        <v>0</v>
      </c>
      <c r="J69" s="4">
        <f>SUM(J70:J74)</f>
        <v>0</v>
      </c>
      <c r="K69" s="4">
        <f>SUM(K70:K74)</f>
        <v>90</v>
      </c>
      <c r="L69" s="4">
        <f>SUM(L70:L74)</f>
        <v>0</v>
      </c>
      <c r="M69" s="20"/>
      <c r="N69" s="28">
        <f>SUM(N70:N74)</f>
        <v>14.958057606471455</v>
      </c>
    </row>
    <row r="70" spans="1:14" s="6" customFormat="1">
      <c r="A70" s="137"/>
      <c r="B70" s="14" t="s">
        <v>2</v>
      </c>
      <c r="C70" s="24" t="s">
        <v>14</v>
      </c>
      <c r="D70" s="24" t="s">
        <v>14</v>
      </c>
      <c r="E70" s="23" t="s">
        <v>14</v>
      </c>
      <c r="F70" s="4">
        <f>G70/M70</f>
        <v>14.958057606471455</v>
      </c>
      <c r="G70" s="4">
        <f>H69</f>
        <v>90</v>
      </c>
      <c r="H70" s="4">
        <f t="shared" si="14"/>
        <v>90</v>
      </c>
      <c r="I70" s="25">
        <v>0</v>
      </c>
      <c r="J70" s="25">
        <v>0</v>
      </c>
      <c r="K70" s="25">
        <v>90</v>
      </c>
      <c r="L70" s="25">
        <v>0</v>
      </c>
      <c r="M70" s="20">
        <v>6.0168239999999997</v>
      </c>
      <c r="N70" s="7">
        <f t="shared" si="11"/>
        <v>14.958057606471455</v>
      </c>
    </row>
    <row r="71" spans="1:14" s="6" customFormat="1">
      <c r="A71" s="137"/>
      <c r="B71" s="14" t="s">
        <v>0</v>
      </c>
      <c r="C71" s="24" t="s">
        <v>14</v>
      </c>
      <c r="D71" s="24" t="s">
        <v>14</v>
      </c>
      <c r="E71" s="23" t="s">
        <v>14</v>
      </c>
      <c r="F71" s="4">
        <f>G71/M71</f>
        <v>0</v>
      </c>
      <c r="G71" s="4">
        <f>G70-H70</f>
        <v>0</v>
      </c>
      <c r="H71" s="4">
        <f t="shared" si="14"/>
        <v>0</v>
      </c>
      <c r="I71" s="25">
        <v>0</v>
      </c>
      <c r="J71" s="25">
        <v>0</v>
      </c>
      <c r="K71" s="25">
        <v>0</v>
      </c>
      <c r="L71" s="25">
        <v>0</v>
      </c>
      <c r="M71" s="20">
        <v>6.3597829679999993</v>
      </c>
      <c r="N71" s="7">
        <f t="shared" si="11"/>
        <v>0</v>
      </c>
    </row>
    <row r="72" spans="1:14" s="6" customFormat="1">
      <c r="A72" s="137"/>
      <c r="B72" s="14" t="s">
        <v>28</v>
      </c>
      <c r="C72" s="24" t="s">
        <v>14</v>
      </c>
      <c r="D72" s="24" t="s">
        <v>14</v>
      </c>
      <c r="E72" s="23" t="s">
        <v>14</v>
      </c>
      <c r="F72" s="4">
        <f>G72/M72</f>
        <v>0</v>
      </c>
      <c r="G72" s="4">
        <f>G71-H71</f>
        <v>0</v>
      </c>
      <c r="H72" s="4">
        <f t="shared" si="14"/>
        <v>0</v>
      </c>
      <c r="I72" s="25">
        <v>0</v>
      </c>
      <c r="J72" s="25">
        <v>0</v>
      </c>
      <c r="K72" s="25">
        <v>0</v>
      </c>
      <c r="L72" s="25">
        <v>0</v>
      </c>
      <c r="M72" s="21">
        <v>6.7032112482719999</v>
      </c>
      <c r="N72" s="7">
        <f t="shared" si="11"/>
        <v>0</v>
      </c>
    </row>
    <row r="73" spans="1:14" s="6" customFormat="1">
      <c r="A73" s="137"/>
      <c r="B73" s="14" t="s">
        <v>29</v>
      </c>
      <c r="C73" s="24" t="s">
        <v>14</v>
      </c>
      <c r="D73" s="24" t="s">
        <v>14</v>
      </c>
      <c r="E73" s="23" t="s">
        <v>14</v>
      </c>
      <c r="F73" s="4">
        <f>G73/M73</f>
        <v>0</v>
      </c>
      <c r="G73" s="4">
        <f>G72-H72</f>
        <v>0</v>
      </c>
      <c r="H73" s="4">
        <f t="shared" si="14"/>
        <v>0</v>
      </c>
      <c r="I73" s="25">
        <v>0</v>
      </c>
      <c r="J73" s="25">
        <v>0</v>
      </c>
      <c r="K73" s="25">
        <v>0</v>
      </c>
      <c r="L73" s="25">
        <v>0</v>
      </c>
      <c r="M73" s="21">
        <v>7.0651846556786886</v>
      </c>
      <c r="N73" s="7">
        <f>H73/M73</f>
        <v>0</v>
      </c>
    </row>
    <row r="74" spans="1:14" s="6" customFormat="1">
      <c r="A74" s="138"/>
      <c r="B74" s="14" t="s">
        <v>30</v>
      </c>
      <c r="C74" s="24" t="s">
        <v>14</v>
      </c>
      <c r="D74" s="24" t="s">
        <v>14</v>
      </c>
      <c r="E74" s="23" t="s">
        <v>14</v>
      </c>
      <c r="F74" s="4">
        <f>G74/M74</f>
        <v>0</v>
      </c>
      <c r="G74" s="4">
        <f>G73-H73</f>
        <v>0</v>
      </c>
      <c r="H74" s="4">
        <f t="shared" si="14"/>
        <v>0</v>
      </c>
      <c r="I74" s="25">
        <v>0</v>
      </c>
      <c r="J74" s="25">
        <v>0</v>
      </c>
      <c r="K74" s="25">
        <v>0</v>
      </c>
      <c r="L74" s="25">
        <v>0</v>
      </c>
      <c r="M74" s="21">
        <v>7.4467046270853379</v>
      </c>
      <c r="N74" s="7">
        <f>H74/M74</f>
        <v>0</v>
      </c>
    </row>
    <row r="75" spans="1:14" s="6" customFormat="1" ht="27.75" customHeight="1">
      <c r="A75" s="139" t="s">
        <v>200</v>
      </c>
      <c r="B75" s="32" t="s">
        <v>191</v>
      </c>
      <c r="C75" s="104" t="s">
        <v>15</v>
      </c>
      <c r="D75" s="104" t="s">
        <v>157</v>
      </c>
      <c r="E75" s="35">
        <v>0</v>
      </c>
      <c r="F75" s="34" t="s">
        <v>14</v>
      </c>
      <c r="G75" s="34" t="s">
        <v>14</v>
      </c>
      <c r="H75" s="35">
        <f t="shared" ref="H75:H80" si="15">SUM(I75:L75)</f>
        <v>6948900</v>
      </c>
      <c r="I75" s="35">
        <f>SUM(I76:I80)</f>
        <v>5388600</v>
      </c>
      <c r="J75" s="35">
        <f>SUM(J76:J80)</f>
        <v>1560300</v>
      </c>
      <c r="K75" s="35">
        <f>SUM(K76:K80)</f>
        <v>0</v>
      </c>
      <c r="L75" s="35">
        <f>SUM(L76:L80)</f>
        <v>0</v>
      </c>
      <c r="M75" s="20"/>
      <c r="N75" s="28">
        <f>SUM(N76:N80)</f>
        <v>1008053.6314861637</v>
      </c>
    </row>
    <row r="76" spans="1:14" s="6" customFormat="1">
      <c r="A76" s="140"/>
      <c r="B76" s="32" t="s">
        <v>2</v>
      </c>
      <c r="C76" s="33" t="s">
        <v>14</v>
      </c>
      <c r="D76" s="33" t="s">
        <v>14</v>
      </c>
      <c r="E76" s="34" t="s">
        <v>14</v>
      </c>
      <c r="F76" s="35">
        <f>G76/M76</f>
        <v>0</v>
      </c>
      <c r="G76" s="35">
        <v>0</v>
      </c>
      <c r="H76" s="35">
        <f t="shared" si="15"/>
        <v>54000</v>
      </c>
      <c r="I76" s="105">
        <v>0</v>
      </c>
      <c r="J76" s="105">
        <v>54000</v>
      </c>
      <c r="K76" s="105">
        <v>0</v>
      </c>
      <c r="L76" s="105">
        <v>0</v>
      </c>
      <c r="M76" s="20">
        <v>6.0168239999999997</v>
      </c>
      <c r="N76" s="7">
        <f>H76/M76</f>
        <v>8974.8345638828723</v>
      </c>
    </row>
    <row r="77" spans="1:14" s="6" customFormat="1">
      <c r="A77" s="140"/>
      <c r="B77" s="32" t="s">
        <v>0</v>
      </c>
      <c r="C77" s="33" t="s">
        <v>14</v>
      </c>
      <c r="D77" s="33" t="s">
        <v>14</v>
      </c>
      <c r="E77" s="34" t="s">
        <v>14</v>
      </c>
      <c r="F77" s="35">
        <f>G77/M77</f>
        <v>0</v>
      </c>
      <c r="G77" s="35">
        <v>0</v>
      </c>
      <c r="H77" s="35">
        <f t="shared" si="15"/>
        <v>1601000</v>
      </c>
      <c r="I77" s="105">
        <v>1347000</v>
      </c>
      <c r="J77" s="35">
        <v>254000</v>
      </c>
      <c r="K77" s="35">
        <v>0</v>
      </c>
      <c r="L77" s="35">
        <v>0</v>
      </c>
      <c r="M77" s="20">
        <v>6.3597829679999993</v>
      </c>
      <c r="N77" s="7">
        <f>H77/M77</f>
        <v>251738.15019405866</v>
      </c>
    </row>
    <row r="78" spans="1:14" s="6" customFormat="1">
      <c r="A78" s="140"/>
      <c r="B78" s="32" t="s">
        <v>28</v>
      </c>
      <c r="C78" s="33" t="s">
        <v>14</v>
      </c>
      <c r="D78" s="33" t="s">
        <v>14</v>
      </c>
      <c r="E78" s="34" t="s">
        <v>14</v>
      </c>
      <c r="F78" s="35">
        <f>G78/M78</f>
        <v>0</v>
      </c>
      <c r="G78" s="35">
        <v>0</v>
      </c>
      <c r="H78" s="35">
        <f t="shared" si="15"/>
        <v>1547000</v>
      </c>
      <c r="I78" s="105">
        <v>1347000</v>
      </c>
      <c r="J78" s="35">
        <v>200000</v>
      </c>
      <c r="K78" s="35">
        <v>0</v>
      </c>
      <c r="L78" s="35">
        <v>0</v>
      </c>
      <c r="M78" s="21">
        <v>6.7032112482719999</v>
      </c>
      <c r="N78" s="7">
        <f>H78/M78</f>
        <v>230784.90930728111</v>
      </c>
    </row>
    <row r="79" spans="1:14" s="6" customFormat="1">
      <c r="A79" s="140"/>
      <c r="B79" s="32" t="s">
        <v>29</v>
      </c>
      <c r="C79" s="33" t="s">
        <v>14</v>
      </c>
      <c r="D79" s="33" t="s">
        <v>14</v>
      </c>
      <c r="E79" s="34" t="s">
        <v>14</v>
      </c>
      <c r="F79" s="35">
        <f>G79/M79</f>
        <v>0</v>
      </c>
      <c r="G79" s="35">
        <v>0</v>
      </c>
      <c r="H79" s="35">
        <f t="shared" si="15"/>
        <v>1847000</v>
      </c>
      <c r="I79" s="105">
        <v>1347000</v>
      </c>
      <c r="J79" s="35">
        <v>500000</v>
      </c>
      <c r="K79" s="35">
        <v>0</v>
      </c>
      <c r="L79" s="35">
        <v>0</v>
      </c>
      <c r="M79" s="21">
        <v>7.0651846556786886</v>
      </c>
      <c r="N79" s="7">
        <f>H79/M79</f>
        <v>261422.7497246603</v>
      </c>
    </row>
    <row r="80" spans="1:14" s="6" customFormat="1">
      <c r="A80" s="141"/>
      <c r="B80" s="32" t="s">
        <v>30</v>
      </c>
      <c r="C80" s="33" t="s">
        <v>14</v>
      </c>
      <c r="D80" s="33" t="s">
        <v>14</v>
      </c>
      <c r="E80" s="34" t="s">
        <v>14</v>
      </c>
      <c r="F80" s="35">
        <f>G80/M80</f>
        <v>0</v>
      </c>
      <c r="G80" s="35">
        <v>0</v>
      </c>
      <c r="H80" s="35">
        <f t="shared" si="15"/>
        <v>1899900</v>
      </c>
      <c r="I80" s="105">
        <v>1347600</v>
      </c>
      <c r="J80" s="35">
        <v>552300</v>
      </c>
      <c r="K80" s="35">
        <v>0</v>
      </c>
      <c r="L80" s="35">
        <v>0</v>
      </c>
      <c r="M80" s="21">
        <v>7.4467046270853379</v>
      </c>
      <c r="N80" s="7">
        <f>H80/M80</f>
        <v>255132.9876962807</v>
      </c>
    </row>
    <row r="81" spans="1:14" s="6" customFormat="1" ht="27" customHeight="1">
      <c r="A81" s="130" t="s">
        <v>206</v>
      </c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2"/>
      <c r="M81" s="18"/>
      <c r="N81" s="7"/>
    </row>
    <row r="82" spans="1:14" s="56" customFormat="1" ht="93" customHeight="1">
      <c r="A82" s="139" t="s">
        <v>197</v>
      </c>
      <c r="B82" s="39" t="s">
        <v>232</v>
      </c>
      <c r="C82" s="51" t="s">
        <v>14</v>
      </c>
      <c r="D82" s="51" t="s">
        <v>242</v>
      </c>
      <c r="E82" s="51" t="s">
        <v>14</v>
      </c>
      <c r="F82" s="51" t="s">
        <v>14</v>
      </c>
      <c r="G82" s="51" t="s">
        <v>14</v>
      </c>
      <c r="H82" s="53">
        <f t="shared" ref="H82:L87" si="16">H90+H96+H102+H108+H114+H120+H126+H132+H138+H144+H150+H156+H162+H168+H174+H180+H186+H192+H198+H204+H210+H218</f>
        <v>501862.04778999998</v>
      </c>
      <c r="I82" s="53">
        <f t="shared" si="16"/>
        <v>26296</v>
      </c>
      <c r="J82" s="53">
        <f t="shared" si="16"/>
        <v>0</v>
      </c>
      <c r="K82" s="53">
        <f t="shared" si="16"/>
        <v>475566.04778999998</v>
      </c>
      <c r="L82" s="53">
        <f t="shared" si="16"/>
        <v>0</v>
      </c>
      <c r="M82" s="54"/>
      <c r="N82" s="55">
        <f>SUM(N83:N87)</f>
        <v>67093.683893940019</v>
      </c>
    </row>
    <row r="83" spans="1:14" s="56" customFormat="1">
      <c r="A83" s="140"/>
      <c r="B83" s="39" t="s">
        <v>19</v>
      </c>
      <c r="C83" s="51" t="s">
        <v>14</v>
      </c>
      <c r="D83" s="51" t="s">
        <v>14</v>
      </c>
      <c r="E83" s="51" t="s">
        <v>14</v>
      </c>
      <c r="F83" s="53">
        <f t="shared" ref="F83:G87" si="17">F91+F97+F103+F109+F115+F121+F127+F133+F139+F145+F151+F157+F163+F169+F175+F181+F187+F193+F199+F205+F211+F219</f>
        <v>13083.628858636357</v>
      </c>
      <c r="G83" s="53">
        <f t="shared" si="17"/>
        <v>71066.3</v>
      </c>
      <c r="H83" s="53">
        <f t="shared" si="16"/>
        <v>18955</v>
      </c>
      <c r="I83" s="53">
        <f t="shared" si="16"/>
        <v>18955</v>
      </c>
      <c r="J83" s="53">
        <f t="shared" si="16"/>
        <v>0</v>
      </c>
      <c r="K83" s="53">
        <f t="shared" si="16"/>
        <v>0</v>
      </c>
      <c r="L83" s="53">
        <f t="shared" si="16"/>
        <v>0</v>
      </c>
      <c r="M83" s="54">
        <v>6.0168239999999997</v>
      </c>
      <c r="N83" s="57">
        <f>H83/M83</f>
        <v>3150.3331325629601</v>
      </c>
    </row>
    <row r="84" spans="1:14" s="56" customFormat="1">
      <c r="A84" s="140"/>
      <c r="B84" s="39" t="s">
        <v>20</v>
      </c>
      <c r="C84" s="51" t="s">
        <v>14</v>
      </c>
      <c r="D84" s="51" t="s">
        <v>14</v>
      </c>
      <c r="E84" s="51" t="s">
        <v>14</v>
      </c>
      <c r="F84" s="53">
        <f t="shared" si="17"/>
        <v>23535.939871794872</v>
      </c>
      <c r="G84" s="53">
        <f t="shared" si="17"/>
        <v>113505.45</v>
      </c>
      <c r="H84" s="53">
        <f t="shared" si="16"/>
        <v>9688.5781900000002</v>
      </c>
      <c r="I84" s="53">
        <f t="shared" si="16"/>
        <v>7341</v>
      </c>
      <c r="J84" s="53">
        <f t="shared" si="16"/>
        <v>0</v>
      </c>
      <c r="K84" s="53">
        <f t="shared" si="16"/>
        <v>2347.5781900000002</v>
      </c>
      <c r="L84" s="53">
        <f t="shared" si="16"/>
        <v>0</v>
      </c>
      <c r="M84" s="54">
        <v>6.3597829679999993</v>
      </c>
      <c r="N84" s="57">
        <f t="shared" ref="N84:N148" si="18">H84/M84</f>
        <v>1523.4133363904441</v>
      </c>
    </row>
    <row r="85" spans="1:14" s="56" customFormat="1">
      <c r="A85" s="140"/>
      <c r="B85" s="39" t="s">
        <v>28</v>
      </c>
      <c r="C85" s="51" t="s">
        <v>14</v>
      </c>
      <c r="D85" s="51" t="s">
        <v>14</v>
      </c>
      <c r="E85" s="51" t="s">
        <v>14</v>
      </c>
      <c r="F85" s="53">
        <f t="shared" si="17"/>
        <v>76005.26676428011</v>
      </c>
      <c r="G85" s="53">
        <f t="shared" si="17"/>
        <v>467016.87180999998</v>
      </c>
      <c r="H85" s="53">
        <f t="shared" si="16"/>
        <v>85856.288629999995</v>
      </c>
      <c r="I85" s="53">
        <f t="shared" si="16"/>
        <v>0</v>
      </c>
      <c r="J85" s="53">
        <f t="shared" si="16"/>
        <v>0</v>
      </c>
      <c r="K85" s="53">
        <f t="shared" si="16"/>
        <v>85856.288629999995</v>
      </c>
      <c r="L85" s="53">
        <f t="shared" si="16"/>
        <v>0</v>
      </c>
      <c r="M85" s="58">
        <v>6.7032112482719999</v>
      </c>
      <c r="N85" s="57">
        <f t="shared" si="18"/>
        <v>12808.232569446864</v>
      </c>
    </row>
    <row r="86" spans="1:14" s="56" customFormat="1">
      <c r="A86" s="140"/>
      <c r="B86" s="39" t="s">
        <v>29</v>
      </c>
      <c r="C86" s="51" t="s">
        <v>14</v>
      </c>
      <c r="D86" s="51" t="s">
        <v>14</v>
      </c>
      <c r="E86" s="51" t="s">
        <v>14</v>
      </c>
      <c r="F86" s="53">
        <f t="shared" si="17"/>
        <v>80727.922350628636</v>
      </c>
      <c r="G86" s="53">
        <f t="shared" si="17"/>
        <v>521557.73317999998</v>
      </c>
      <c r="H86" s="53">
        <f t="shared" si="16"/>
        <v>186517.03120999999</v>
      </c>
      <c r="I86" s="53">
        <f t="shared" si="16"/>
        <v>0</v>
      </c>
      <c r="J86" s="53">
        <f t="shared" si="16"/>
        <v>0</v>
      </c>
      <c r="K86" s="53">
        <f t="shared" si="16"/>
        <v>186517.03120999999</v>
      </c>
      <c r="L86" s="53">
        <f t="shared" si="16"/>
        <v>0</v>
      </c>
      <c r="M86" s="58">
        <v>7.0651846556786886</v>
      </c>
      <c r="N86" s="57">
        <f>H86/M86</f>
        <v>26399.455966106376</v>
      </c>
    </row>
    <row r="87" spans="1:14" s="56" customFormat="1">
      <c r="A87" s="140"/>
      <c r="B87" s="39" t="s">
        <v>30</v>
      </c>
      <c r="C87" s="51" t="s">
        <v>14</v>
      </c>
      <c r="D87" s="51" t="s">
        <v>14</v>
      </c>
      <c r="E87" s="51" t="s">
        <v>14</v>
      </c>
      <c r="F87" s="53">
        <f t="shared" si="17"/>
        <v>49781.672913585164</v>
      </c>
      <c r="G87" s="53">
        <f t="shared" si="17"/>
        <v>335040.70196999999</v>
      </c>
      <c r="H87" s="53">
        <f t="shared" si="16"/>
        <v>172854.76121</v>
      </c>
      <c r="I87" s="53">
        <f t="shared" si="16"/>
        <v>0</v>
      </c>
      <c r="J87" s="53">
        <f t="shared" si="16"/>
        <v>0</v>
      </c>
      <c r="K87" s="53">
        <f t="shared" si="16"/>
        <v>172854.76121</v>
      </c>
      <c r="L87" s="53">
        <f t="shared" si="16"/>
        <v>0</v>
      </c>
      <c r="M87" s="58">
        <v>7.4467046270853379</v>
      </c>
      <c r="N87" s="57">
        <f t="shared" si="18"/>
        <v>23212.248889433373</v>
      </c>
    </row>
    <row r="88" spans="1:14" s="56" customFormat="1">
      <c r="A88" s="140"/>
      <c r="B88" s="39" t="s">
        <v>243</v>
      </c>
      <c r="C88" s="51" t="s">
        <v>14</v>
      </c>
      <c r="D88" s="51" t="s">
        <v>14</v>
      </c>
      <c r="E88" s="51" t="s">
        <v>14</v>
      </c>
      <c r="F88" s="53">
        <f t="shared" ref="F88:G88" si="19">F216+F224</f>
        <v>24694.25960636395</v>
      </c>
      <c r="G88" s="53">
        <f t="shared" si="19"/>
        <v>162185.94076</v>
      </c>
      <c r="H88" s="53">
        <f>H216+H224</f>
        <v>20540.495319999998</v>
      </c>
      <c r="I88" s="53">
        <f t="shared" ref="I88:L88" si="20">I216+I224</f>
        <v>0</v>
      </c>
      <c r="J88" s="53">
        <f t="shared" si="20"/>
        <v>0</v>
      </c>
      <c r="K88" s="53">
        <f t="shared" si="20"/>
        <v>20540.495319999998</v>
      </c>
      <c r="L88" s="53">
        <f t="shared" si="20"/>
        <v>0</v>
      </c>
      <c r="M88" s="58"/>
      <c r="N88" s="57"/>
    </row>
    <row r="89" spans="1:14" s="56" customFormat="1">
      <c r="A89" s="141"/>
      <c r="B89" s="39" t="s">
        <v>244</v>
      </c>
      <c r="C89" s="51" t="s">
        <v>14</v>
      </c>
      <c r="D89" s="51" t="s">
        <v>14</v>
      </c>
      <c r="E89" s="51" t="s">
        <v>14</v>
      </c>
      <c r="F89" s="53">
        <f t="shared" ref="F89:G89" si="21">F217+F225</f>
        <v>20019.527286603967</v>
      </c>
      <c r="G89" s="53">
        <f t="shared" si="21"/>
        <v>143800.83044000002</v>
      </c>
      <c r="H89" s="53">
        <f>H217+H225</f>
        <v>7449.8932299999997</v>
      </c>
      <c r="I89" s="53">
        <f t="shared" ref="I89:L89" si="22">I217+I225</f>
        <v>0</v>
      </c>
      <c r="J89" s="53">
        <f t="shared" si="22"/>
        <v>0</v>
      </c>
      <c r="K89" s="53">
        <f t="shared" si="22"/>
        <v>7449.8932299999997</v>
      </c>
      <c r="L89" s="53">
        <f t="shared" si="22"/>
        <v>0</v>
      </c>
      <c r="M89" s="58"/>
      <c r="N89" s="57"/>
    </row>
    <row r="90" spans="1:14" s="12" customFormat="1" ht="41.25" customHeight="1">
      <c r="A90" s="142" t="s">
        <v>67</v>
      </c>
      <c r="B90" s="41" t="s">
        <v>33</v>
      </c>
      <c r="C90" s="42" t="s">
        <v>60</v>
      </c>
      <c r="D90" s="42" t="s">
        <v>63</v>
      </c>
      <c r="E90" s="43">
        <f>F93+F94+F95</f>
        <v>9386.7278884350144</v>
      </c>
      <c r="F90" s="42" t="s">
        <v>34</v>
      </c>
      <c r="G90" s="42" t="s">
        <v>34</v>
      </c>
      <c r="H90" s="44">
        <f>I90+J90+K90+L90</f>
        <v>27500</v>
      </c>
      <c r="I90" s="4">
        <f>SUM(I91:I95)</f>
        <v>0</v>
      </c>
      <c r="J90" s="4">
        <f>SUM(J91:J95)</f>
        <v>0</v>
      </c>
      <c r="K90" s="4">
        <f>SUM(K91:K95)</f>
        <v>27500</v>
      </c>
      <c r="L90" s="4">
        <f>SUM(L91:L95)</f>
        <v>0</v>
      </c>
      <c r="M90" s="20"/>
      <c r="N90" s="30">
        <f>SUM(N91:N95)</f>
        <v>3817.1636211554351</v>
      </c>
    </row>
    <row r="91" spans="1:14" s="12" customFormat="1">
      <c r="A91" s="143"/>
      <c r="B91" s="19" t="s">
        <v>19</v>
      </c>
      <c r="C91" s="45" t="s">
        <v>34</v>
      </c>
      <c r="D91" s="45" t="s">
        <v>34</v>
      </c>
      <c r="E91" s="45" t="s">
        <v>34</v>
      </c>
      <c r="F91" s="43">
        <f>G91/M91</f>
        <v>0</v>
      </c>
      <c r="G91" s="4">
        <v>0</v>
      </c>
      <c r="H91" s="44">
        <f t="shared" ref="H91:H154" si="23">I91+J91+K91+L91</f>
        <v>0</v>
      </c>
      <c r="I91" s="4">
        <v>0</v>
      </c>
      <c r="J91" s="4">
        <v>0</v>
      </c>
      <c r="K91" s="4">
        <v>0</v>
      </c>
      <c r="L91" s="4">
        <v>0</v>
      </c>
      <c r="M91" s="20">
        <v>6.0168239999999997</v>
      </c>
      <c r="N91" s="31">
        <f t="shared" si="18"/>
        <v>0</v>
      </c>
    </row>
    <row r="92" spans="1:14" s="12" customFormat="1">
      <c r="A92" s="143"/>
      <c r="B92" s="19" t="s">
        <v>20</v>
      </c>
      <c r="C92" s="45" t="s">
        <v>34</v>
      </c>
      <c r="D92" s="45" t="s">
        <v>34</v>
      </c>
      <c r="E92" s="45" t="s">
        <v>34</v>
      </c>
      <c r="F92" s="43">
        <f>G92/M92</f>
        <v>0</v>
      </c>
      <c r="G92" s="4">
        <v>0</v>
      </c>
      <c r="H92" s="44">
        <f t="shared" si="23"/>
        <v>0</v>
      </c>
      <c r="I92" s="4">
        <v>0</v>
      </c>
      <c r="J92" s="4">
        <v>0</v>
      </c>
      <c r="K92" s="4">
        <v>0</v>
      </c>
      <c r="L92" s="4">
        <v>0</v>
      </c>
      <c r="M92" s="20">
        <v>6.3597829679999993</v>
      </c>
      <c r="N92" s="31">
        <f t="shared" si="18"/>
        <v>0</v>
      </c>
    </row>
    <row r="93" spans="1:14" s="12" customFormat="1">
      <c r="A93" s="143"/>
      <c r="B93" s="19" t="s">
        <v>28</v>
      </c>
      <c r="C93" s="45" t="s">
        <v>34</v>
      </c>
      <c r="D93" s="45" t="s">
        <v>34</v>
      </c>
      <c r="E93" s="45" t="s">
        <v>34</v>
      </c>
      <c r="F93" s="43">
        <f>G93/M93</f>
        <v>4102.5113160634974</v>
      </c>
      <c r="G93" s="17">
        <f>H90</f>
        <v>27500</v>
      </c>
      <c r="H93" s="44">
        <f t="shared" si="23"/>
        <v>2500</v>
      </c>
      <c r="I93" s="4">
        <v>0</v>
      </c>
      <c r="J93" s="4">
        <v>0</v>
      </c>
      <c r="K93" s="4">
        <v>2500</v>
      </c>
      <c r="L93" s="4">
        <v>0</v>
      </c>
      <c r="M93" s="21">
        <v>6.7032112482719999</v>
      </c>
      <c r="N93" s="31">
        <f t="shared" si="18"/>
        <v>372.95557418759063</v>
      </c>
    </row>
    <row r="94" spans="1:14" s="12" customFormat="1">
      <c r="A94" s="143"/>
      <c r="B94" s="19" t="s">
        <v>29</v>
      </c>
      <c r="C94" s="45" t="s">
        <v>34</v>
      </c>
      <c r="D94" s="45" t="s">
        <v>34</v>
      </c>
      <c r="E94" s="45" t="s">
        <v>34</v>
      </c>
      <c r="F94" s="43">
        <f>G94/M94</f>
        <v>3538.4779334686018</v>
      </c>
      <c r="G94" s="17">
        <f>G93-H93</f>
        <v>25000</v>
      </c>
      <c r="H94" s="44">
        <f t="shared" si="23"/>
        <v>12000</v>
      </c>
      <c r="I94" s="4">
        <v>0</v>
      </c>
      <c r="J94" s="4">
        <v>0</v>
      </c>
      <c r="K94" s="4">
        <v>12000</v>
      </c>
      <c r="L94" s="4">
        <v>0</v>
      </c>
      <c r="M94" s="21">
        <v>7.0651846556786886</v>
      </c>
      <c r="N94" s="31">
        <f t="shared" si="18"/>
        <v>1698.4694080649288</v>
      </c>
    </row>
    <row r="95" spans="1:14" s="12" customFormat="1">
      <c r="A95" s="144"/>
      <c r="B95" s="19" t="s">
        <v>30</v>
      </c>
      <c r="C95" s="45" t="s">
        <v>34</v>
      </c>
      <c r="D95" s="45" t="s">
        <v>34</v>
      </c>
      <c r="E95" s="45" t="s">
        <v>34</v>
      </c>
      <c r="F95" s="43">
        <f>G95/M95</f>
        <v>1745.7386389029155</v>
      </c>
      <c r="G95" s="17">
        <f>G94-H94</f>
        <v>13000</v>
      </c>
      <c r="H95" s="44">
        <f t="shared" si="23"/>
        <v>13000</v>
      </c>
      <c r="I95" s="4">
        <v>0</v>
      </c>
      <c r="J95" s="4">
        <v>0</v>
      </c>
      <c r="K95" s="4">
        <v>13000</v>
      </c>
      <c r="L95" s="4">
        <v>0</v>
      </c>
      <c r="M95" s="21">
        <v>7.4467046270853379</v>
      </c>
      <c r="N95" s="31">
        <f t="shared" si="18"/>
        <v>1745.7386389029155</v>
      </c>
    </row>
    <row r="96" spans="1:14" s="12" customFormat="1" ht="36.75" customHeight="1">
      <c r="A96" s="142" t="s">
        <v>68</v>
      </c>
      <c r="B96" s="41" t="s">
        <v>35</v>
      </c>
      <c r="C96" s="42" t="s">
        <v>61</v>
      </c>
      <c r="D96" s="42" t="s">
        <v>63</v>
      </c>
      <c r="E96" s="43">
        <v>1833.9789052900073</v>
      </c>
      <c r="F96" s="42" t="s">
        <v>34</v>
      </c>
      <c r="G96" s="42" t="s">
        <v>34</v>
      </c>
      <c r="H96" s="44">
        <f t="shared" si="23"/>
        <v>13200</v>
      </c>
      <c r="I96" s="4">
        <f>SUM(I97:I101)</f>
        <v>0</v>
      </c>
      <c r="J96" s="4">
        <f>SUM(J97:J101)</f>
        <v>0</v>
      </c>
      <c r="K96" s="4">
        <f>SUM(K97:K101)</f>
        <v>13200</v>
      </c>
      <c r="L96" s="4">
        <f>SUM(L97:L101)</f>
        <v>0</v>
      </c>
      <c r="M96" s="20"/>
      <c r="N96" s="30">
        <f>SUM(N97:N101)</f>
        <v>1833.9789052900073</v>
      </c>
    </row>
    <row r="97" spans="1:14" s="12" customFormat="1">
      <c r="A97" s="143"/>
      <c r="B97" s="19" t="s">
        <v>2</v>
      </c>
      <c r="C97" s="45" t="s">
        <v>34</v>
      </c>
      <c r="D97" s="45" t="s">
        <v>34</v>
      </c>
      <c r="E97" s="45" t="s">
        <v>34</v>
      </c>
      <c r="F97" s="43">
        <v>0</v>
      </c>
      <c r="G97" s="4">
        <v>0</v>
      </c>
      <c r="H97" s="44">
        <f t="shared" si="23"/>
        <v>0</v>
      </c>
      <c r="I97" s="4">
        <v>0</v>
      </c>
      <c r="J97" s="4">
        <v>0</v>
      </c>
      <c r="K97" s="4">
        <v>0</v>
      </c>
      <c r="L97" s="4">
        <v>0</v>
      </c>
      <c r="M97" s="20">
        <v>6.0168239999999997</v>
      </c>
      <c r="N97" s="31">
        <f t="shared" si="18"/>
        <v>0</v>
      </c>
    </row>
    <row r="98" spans="1:14" s="12" customFormat="1">
      <c r="A98" s="143"/>
      <c r="B98" s="19" t="s">
        <v>0</v>
      </c>
      <c r="C98" s="45" t="s">
        <v>34</v>
      </c>
      <c r="D98" s="45" t="s">
        <v>34</v>
      </c>
      <c r="E98" s="45" t="s">
        <v>34</v>
      </c>
      <c r="F98" s="43">
        <v>0</v>
      </c>
      <c r="G98" s="4">
        <v>0</v>
      </c>
      <c r="H98" s="44">
        <f t="shared" si="23"/>
        <v>0</v>
      </c>
      <c r="I98" s="4">
        <v>0</v>
      </c>
      <c r="J98" s="4">
        <v>0</v>
      </c>
      <c r="K98" s="4">
        <v>0</v>
      </c>
      <c r="L98" s="4">
        <v>0</v>
      </c>
      <c r="M98" s="20">
        <v>6.3597829679999993</v>
      </c>
      <c r="N98" s="31">
        <f t="shared" si="18"/>
        <v>0</v>
      </c>
    </row>
    <row r="99" spans="1:14" s="12" customFormat="1">
      <c r="A99" s="143"/>
      <c r="B99" s="19" t="s">
        <v>28</v>
      </c>
      <c r="C99" s="45" t="s">
        <v>34</v>
      </c>
      <c r="D99" s="45" t="s">
        <v>34</v>
      </c>
      <c r="E99" s="45" t="s">
        <v>34</v>
      </c>
      <c r="F99" s="43">
        <f>G99/M99</f>
        <v>1969.2054317104787</v>
      </c>
      <c r="G99" s="46">
        <f>H96</f>
        <v>13200</v>
      </c>
      <c r="H99" s="44">
        <f t="shared" si="23"/>
        <v>1200</v>
      </c>
      <c r="I99" s="4">
        <v>0</v>
      </c>
      <c r="J99" s="4">
        <v>0</v>
      </c>
      <c r="K99" s="4">
        <v>1200</v>
      </c>
      <c r="L99" s="4">
        <v>0</v>
      </c>
      <c r="M99" s="21">
        <v>6.7032112482719999</v>
      </c>
      <c r="N99" s="31">
        <f t="shared" si="18"/>
        <v>179.01867561004352</v>
      </c>
    </row>
    <row r="100" spans="1:14" s="12" customFormat="1">
      <c r="A100" s="143"/>
      <c r="B100" s="19" t="s">
        <v>29</v>
      </c>
      <c r="C100" s="45" t="s">
        <v>34</v>
      </c>
      <c r="D100" s="45" t="s">
        <v>34</v>
      </c>
      <c r="E100" s="45" t="s">
        <v>34</v>
      </c>
      <c r="F100" s="43">
        <f>G100/M100</f>
        <v>1698.4694080649288</v>
      </c>
      <c r="G100" s="46">
        <f>G99-H99</f>
        <v>12000</v>
      </c>
      <c r="H100" s="44">
        <f t="shared" si="23"/>
        <v>6000</v>
      </c>
      <c r="I100" s="4">
        <v>0</v>
      </c>
      <c r="J100" s="4">
        <v>0</v>
      </c>
      <c r="K100" s="4">
        <v>6000</v>
      </c>
      <c r="L100" s="4">
        <v>0</v>
      </c>
      <c r="M100" s="21">
        <v>7.0651846556786886</v>
      </c>
      <c r="N100" s="31">
        <f t="shared" si="18"/>
        <v>849.23470403246438</v>
      </c>
    </row>
    <row r="101" spans="1:14" s="12" customFormat="1">
      <c r="A101" s="144"/>
      <c r="B101" s="19" t="s">
        <v>30</v>
      </c>
      <c r="C101" s="45" t="s">
        <v>34</v>
      </c>
      <c r="D101" s="45" t="s">
        <v>34</v>
      </c>
      <c r="E101" s="45" t="s">
        <v>34</v>
      </c>
      <c r="F101" s="43">
        <f>G101/M101</f>
        <v>805.72552564749947</v>
      </c>
      <c r="G101" s="46">
        <f>G100-H100</f>
        <v>6000</v>
      </c>
      <c r="H101" s="44">
        <f>I101+J101+K101+L101</f>
        <v>6000</v>
      </c>
      <c r="I101" s="4">
        <v>0</v>
      </c>
      <c r="J101" s="4">
        <v>0</v>
      </c>
      <c r="K101" s="4">
        <v>6000</v>
      </c>
      <c r="L101" s="4">
        <v>0</v>
      </c>
      <c r="M101" s="21">
        <v>7.4467046270853379</v>
      </c>
      <c r="N101" s="31">
        <f t="shared" si="18"/>
        <v>805.72552564749947</v>
      </c>
    </row>
    <row r="102" spans="1:14" s="12" customFormat="1" ht="42" customHeight="1">
      <c r="A102" s="142" t="s">
        <v>69</v>
      </c>
      <c r="B102" s="19" t="s">
        <v>236</v>
      </c>
      <c r="C102" s="114" t="s">
        <v>251</v>
      </c>
      <c r="D102" s="9" t="s">
        <v>157</v>
      </c>
      <c r="E102" s="4">
        <v>3787.87</v>
      </c>
      <c r="F102" s="9" t="s">
        <v>34</v>
      </c>
      <c r="G102" s="9" t="s">
        <v>34</v>
      </c>
      <c r="H102" s="4">
        <f t="shared" si="23"/>
        <v>0</v>
      </c>
      <c r="I102" s="4">
        <f>SUM(I103:I107)</f>
        <v>0</v>
      </c>
      <c r="J102" s="4">
        <f>SUM(J103:J107)</f>
        <v>0</v>
      </c>
      <c r="K102" s="4">
        <f>SUM(K103:K107)</f>
        <v>0</v>
      </c>
      <c r="L102" s="4">
        <f>SUM(L103:L107)</f>
        <v>0</v>
      </c>
      <c r="M102" s="20"/>
      <c r="N102" s="30">
        <f>SUM(N103:N107)</f>
        <v>0</v>
      </c>
    </row>
    <row r="103" spans="1:14" s="12" customFormat="1">
      <c r="A103" s="143"/>
      <c r="B103" s="47" t="s">
        <v>2</v>
      </c>
      <c r="C103" s="9" t="s">
        <v>34</v>
      </c>
      <c r="D103" s="9" t="s">
        <v>34</v>
      </c>
      <c r="E103" s="9" t="s">
        <v>34</v>
      </c>
      <c r="F103" s="4">
        <v>0</v>
      </c>
      <c r="G103" s="4">
        <v>0</v>
      </c>
      <c r="H103" s="4">
        <f t="shared" si="23"/>
        <v>0</v>
      </c>
      <c r="I103" s="4">
        <v>0</v>
      </c>
      <c r="J103" s="4">
        <v>0</v>
      </c>
      <c r="K103" s="4">
        <v>0</v>
      </c>
      <c r="L103" s="4">
        <v>0</v>
      </c>
      <c r="M103" s="20">
        <v>6.0168239999999997</v>
      </c>
      <c r="N103" s="31">
        <f t="shared" si="18"/>
        <v>0</v>
      </c>
    </row>
    <row r="104" spans="1:14" s="12" customFormat="1">
      <c r="A104" s="143"/>
      <c r="B104" s="47" t="s">
        <v>0</v>
      </c>
      <c r="C104" s="9" t="s">
        <v>34</v>
      </c>
      <c r="D104" s="9" t="s">
        <v>34</v>
      </c>
      <c r="E104" s="9" t="s">
        <v>34</v>
      </c>
      <c r="F104" s="4">
        <v>0</v>
      </c>
      <c r="G104" s="4">
        <v>0</v>
      </c>
      <c r="H104" s="4">
        <f t="shared" si="23"/>
        <v>0</v>
      </c>
      <c r="I104" s="4">
        <v>0</v>
      </c>
      <c r="J104" s="4">
        <v>0</v>
      </c>
      <c r="K104" s="4">
        <v>0</v>
      </c>
      <c r="L104" s="4">
        <v>0</v>
      </c>
      <c r="M104" s="20">
        <v>6.3597829679999993</v>
      </c>
      <c r="N104" s="31">
        <f t="shared" si="18"/>
        <v>0</v>
      </c>
    </row>
    <row r="105" spans="1:14" s="12" customFormat="1">
      <c r="A105" s="143"/>
      <c r="B105" s="19" t="s">
        <v>28</v>
      </c>
      <c r="C105" s="9" t="s">
        <v>34</v>
      </c>
      <c r="D105" s="9" t="s">
        <v>34</v>
      </c>
      <c r="E105" s="9" t="s">
        <v>34</v>
      </c>
      <c r="F105" s="4">
        <v>0</v>
      </c>
      <c r="G105" s="4">
        <v>0</v>
      </c>
      <c r="H105" s="4">
        <f t="shared" si="23"/>
        <v>0</v>
      </c>
      <c r="I105" s="4">
        <v>0</v>
      </c>
      <c r="J105" s="4">
        <v>0</v>
      </c>
      <c r="K105" s="4">
        <v>0</v>
      </c>
      <c r="L105" s="4">
        <v>0</v>
      </c>
      <c r="M105" s="21">
        <v>6.7032112482719999</v>
      </c>
      <c r="N105" s="31">
        <f t="shared" si="18"/>
        <v>0</v>
      </c>
    </row>
    <row r="106" spans="1:14" s="12" customFormat="1">
      <c r="A106" s="143"/>
      <c r="B106" s="19" t="s">
        <v>29</v>
      </c>
      <c r="C106" s="9" t="s">
        <v>34</v>
      </c>
      <c r="D106" s="9" t="s">
        <v>34</v>
      </c>
      <c r="E106" s="9" t="s">
        <v>34</v>
      </c>
      <c r="F106" s="4">
        <v>0</v>
      </c>
      <c r="G106" s="4">
        <v>0</v>
      </c>
      <c r="H106" s="4">
        <f t="shared" si="23"/>
        <v>0</v>
      </c>
      <c r="I106" s="4">
        <v>0</v>
      </c>
      <c r="J106" s="4">
        <v>0</v>
      </c>
      <c r="K106" s="4">
        <v>0</v>
      </c>
      <c r="L106" s="4">
        <v>0</v>
      </c>
      <c r="M106" s="21">
        <v>7.0651846556786886</v>
      </c>
      <c r="N106" s="31">
        <f t="shared" si="18"/>
        <v>0</v>
      </c>
    </row>
    <row r="107" spans="1:14" s="12" customFormat="1">
      <c r="A107" s="144"/>
      <c r="B107" s="19" t="s">
        <v>30</v>
      </c>
      <c r="C107" s="9" t="s">
        <v>34</v>
      </c>
      <c r="D107" s="9" t="s">
        <v>34</v>
      </c>
      <c r="E107" s="9" t="s">
        <v>34</v>
      </c>
      <c r="F107" s="4">
        <v>0</v>
      </c>
      <c r="G107" s="4">
        <v>0</v>
      </c>
      <c r="H107" s="4">
        <f t="shared" si="23"/>
        <v>0</v>
      </c>
      <c r="I107" s="4">
        <v>0</v>
      </c>
      <c r="J107" s="4">
        <v>0</v>
      </c>
      <c r="K107" s="4">
        <v>0</v>
      </c>
      <c r="L107" s="4">
        <v>0</v>
      </c>
      <c r="M107" s="21">
        <v>7.4467046270853379</v>
      </c>
      <c r="N107" s="31">
        <f t="shared" si="18"/>
        <v>0</v>
      </c>
    </row>
    <row r="108" spans="1:14" s="12" customFormat="1" ht="32.25" customHeight="1">
      <c r="A108" s="142" t="s">
        <v>70</v>
      </c>
      <c r="B108" s="19" t="s">
        <v>36</v>
      </c>
      <c r="C108" s="9" t="s">
        <v>37</v>
      </c>
      <c r="D108" s="9" t="s">
        <v>63</v>
      </c>
      <c r="E108" s="17">
        <v>18639.168189262113</v>
      </c>
      <c r="F108" s="9" t="s">
        <v>34</v>
      </c>
      <c r="G108" s="9" t="s">
        <v>34</v>
      </c>
      <c r="H108" s="4">
        <f t="shared" si="23"/>
        <v>55000</v>
      </c>
      <c r="I108" s="4">
        <f>SUM(I109:I113)</f>
        <v>0</v>
      </c>
      <c r="J108" s="4">
        <f>SUM(J109:J113)</f>
        <v>0</v>
      </c>
      <c r="K108" s="4">
        <f>SUM(K109:K113)</f>
        <v>55000</v>
      </c>
      <c r="L108" s="4">
        <f>SUM(L109:L113)</f>
        <v>0</v>
      </c>
      <c r="M108" s="20"/>
      <c r="N108" s="30">
        <f>SUM(N109:N113)</f>
        <v>7641.5787720416974</v>
      </c>
    </row>
    <row r="109" spans="1:14" s="12" customFormat="1">
      <c r="A109" s="143"/>
      <c r="B109" s="47" t="s">
        <v>2</v>
      </c>
      <c r="C109" s="9" t="s">
        <v>34</v>
      </c>
      <c r="D109" s="9" t="s">
        <v>34</v>
      </c>
      <c r="E109" s="9" t="s">
        <v>34</v>
      </c>
      <c r="F109" s="48">
        <f>G109/M109</f>
        <v>0</v>
      </c>
      <c r="G109" s="48">
        <v>0</v>
      </c>
      <c r="H109" s="4">
        <f t="shared" si="23"/>
        <v>0</v>
      </c>
      <c r="I109" s="4">
        <v>0</v>
      </c>
      <c r="J109" s="4">
        <v>0</v>
      </c>
      <c r="K109" s="4">
        <v>0</v>
      </c>
      <c r="L109" s="4">
        <v>0</v>
      </c>
      <c r="M109" s="20">
        <v>6.0168239999999997</v>
      </c>
      <c r="N109" s="31">
        <f t="shared" si="18"/>
        <v>0</v>
      </c>
    </row>
    <row r="110" spans="1:14" s="12" customFormat="1">
      <c r="A110" s="143"/>
      <c r="B110" s="47" t="s">
        <v>0</v>
      </c>
      <c r="C110" s="9" t="s">
        <v>34</v>
      </c>
      <c r="D110" s="9" t="s">
        <v>34</v>
      </c>
      <c r="E110" s="9" t="s">
        <v>34</v>
      </c>
      <c r="F110" s="48">
        <f>G110/M110</f>
        <v>0</v>
      </c>
      <c r="G110" s="9">
        <v>0</v>
      </c>
      <c r="H110" s="4">
        <f t="shared" si="23"/>
        <v>0</v>
      </c>
      <c r="I110" s="4">
        <v>0</v>
      </c>
      <c r="J110" s="4">
        <v>0</v>
      </c>
      <c r="K110" s="4">
        <v>0</v>
      </c>
      <c r="L110" s="4">
        <v>0</v>
      </c>
      <c r="M110" s="20">
        <v>6.3597829679999993</v>
      </c>
      <c r="N110" s="31">
        <f t="shared" si="18"/>
        <v>0</v>
      </c>
    </row>
    <row r="111" spans="1:14" s="12" customFormat="1">
      <c r="A111" s="143"/>
      <c r="B111" s="19" t="s">
        <v>28</v>
      </c>
      <c r="C111" s="9" t="s">
        <v>34</v>
      </c>
      <c r="D111" s="9" t="s">
        <v>34</v>
      </c>
      <c r="E111" s="9" t="s">
        <v>34</v>
      </c>
      <c r="F111" s="17">
        <f>G111/M111</f>
        <v>8205.0226321269947</v>
      </c>
      <c r="G111" s="17">
        <f>H108</f>
        <v>55000</v>
      </c>
      <c r="H111" s="4">
        <f t="shared" si="23"/>
        <v>5000</v>
      </c>
      <c r="I111" s="4">
        <v>0</v>
      </c>
      <c r="J111" s="4">
        <v>0</v>
      </c>
      <c r="K111" s="4">
        <v>5000</v>
      </c>
      <c r="L111" s="4">
        <v>0</v>
      </c>
      <c r="M111" s="21">
        <v>6.7032112482719999</v>
      </c>
      <c r="N111" s="31">
        <f t="shared" si="18"/>
        <v>745.91114837518126</v>
      </c>
    </row>
    <row r="112" spans="1:14" s="12" customFormat="1">
      <c r="A112" s="143"/>
      <c r="B112" s="19" t="s">
        <v>29</v>
      </c>
      <c r="C112" s="9" t="s">
        <v>34</v>
      </c>
      <c r="D112" s="9" t="s">
        <v>34</v>
      </c>
      <c r="E112" s="9" t="s">
        <v>34</v>
      </c>
      <c r="F112" s="17">
        <f>G112/M112</f>
        <v>7076.9558669372036</v>
      </c>
      <c r="G112" s="17">
        <f>G111-H111</f>
        <v>50000</v>
      </c>
      <c r="H112" s="4">
        <f t="shared" si="23"/>
        <v>25000</v>
      </c>
      <c r="I112" s="4">
        <v>0</v>
      </c>
      <c r="J112" s="4">
        <v>0</v>
      </c>
      <c r="K112" s="4">
        <v>25000</v>
      </c>
      <c r="L112" s="4">
        <v>0</v>
      </c>
      <c r="M112" s="21">
        <v>7.0651846556786886</v>
      </c>
      <c r="N112" s="31">
        <f t="shared" si="18"/>
        <v>3538.4779334686018</v>
      </c>
    </row>
    <row r="113" spans="1:14" s="12" customFormat="1">
      <c r="A113" s="144"/>
      <c r="B113" s="19" t="s">
        <v>30</v>
      </c>
      <c r="C113" s="9" t="s">
        <v>34</v>
      </c>
      <c r="D113" s="9" t="s">
        <v>34</v>
      </c>
      <c r="E113" s="9" t="s">
        <v>34</v>
      </c>
      <c r="F113" s="17">
        <f>G113/M113</f>
        <v>3357.1896901979144</v>
      </c>
      <c r="G113" s="17">
        <f>G112-H112</f>
        <v>25000</v>
      </c>
      <c r="H113" s="4">
        <f t="shared" si="23"/>
        <v>25000</v>
      </c>
      <c r="I113" s="4">
        <v>0</v>
      </c>
      <c r="J113" s="4">
        <v>0</v>
      </c>
      <c r="K113" s="4">
        <v>25000</v>
      </c>
      <c r="L113" s="4">
        <v>0</v>
      </c>
      <c r="M113" s="21">
        <v>7.4467046270853379</v>
      </c>
      <c r="N113" s="31">
        <f t="shared" si="18"/>
        <v>3357.1896901979144</v>
      </c>
    </row>
    <row r="114" spans="1:14" s="12" customFormat="1" ht="30" customHeight="1">
      <c r="A114" s="142" t="s">
        <v>24</v>
      </c>
      <c r="B114" s="49" t="s">
        <v>38</v>
      </c>
      <c r="C114" s="9" t="s">
        <v>65</v>
      </c>
      <c r="D114" s="9" t="s">
        <v>63</v>
      </c>
      <c r="E114" s="4">
        <v>3131.2226236541969</v>
      </c>
      <c r="F114" s="9" t="s">
        <v>34</v>
      </c>
      <c r="G114" s="9" t="s">
        <v>34</v>
      </c>
      <c r="H114" s="4">
        <f t="shared" si="23"/>
        <v>22500</v>
      </c>
      <c r="I114" s="4">
        <f>SUM(I115:I119)</f>
        <v>0</v>
      </c>
      <c r="J114" s="4">
        <f>SUM(J115:J119)</f>
        <v>0</v>
      </c>
      <c r="K114" s="4">
        <f>SUM(K115:K119)</f>
        <v>22500</v>
      </c>
      <c r="L114" s="4">
        <f>SUM(L115:L119)</f>
        <v>0</v>
      </c>
      <c r="M114" s="20"/>
      <c r="N114" s="30">
        <f>SUM(N115:N119)</f>
        <v>3131.2226236541969</v>
      </c>
    </row>
    <row r="115" spans="1:14" s="12" customFormat="1">
      <c r="A115" s="143"/>
      <c r="B115" s="47" t="s">
        <v>2</v>
      </c>
      <c r="C115" s="9" t="s">
        <v>34</v>
      </c>
      <c r="D115" s="9" t="s">
        <v>34</v>
      </c>
      <c r="E115" s="9" t="s">
        <v>34</v>
      </c>
      <c r="F115" s="4">
        <f>G115/M115</f>
        <v>0</v>
      </c>
      <c r="G115" s="4">
        <v>0</v>
      </c>
      <c r="H115" s="4">
        <f t="shared" si="23"/>
        <v>0</v>
      </c>
      <c r="I115" s="4">
        <v>0</v>
      </c>
      <c r="J115" s="4">
        <v>0</v>
      </c>
      <c r="K115" s="4">
        <v>0</v>
      </c>
      <c r="L115" s="4">
        <v>0</v>
      </c>
      <c r="M115" s="20">
        <v>6.0168239999999997</v>
      </c>
      <c r="N115" s="31">
        <f t="shared" si="18"/>
        <v>0</v>
      </c>
    </row>
    <row r="116" spans="1:14" s="12" customFormat="1">
      <c r="A116" s="143"/>
      <c r="B116" s="47" t="s">
        <v>0</v>
      </c>
      <c r="C116" s="9" t="s">
        <v>34</v>
      </c>
      <c r="D116" s="9" t="s">
        <v>34</v>
      </c>
      <c r="E116" s="9" t="s">
        <v>34</v>
      </c>
      <c r="F116" s="4">
        <f>G116/M116</f>
        <v>0</v>
      </c>
      <c r="G116" s="4">
        <v>0</v>
      </c>
      <c r="H116" s="4">
        <f t="shared" si="23"/>
        <v>0</v>
      </c>
      <c r="I116" s="4">
        <v>0</v>
      </c>
      <c r="J116" s="4">
        <v>0</v>
      </c>
      <c r="K116" s="4">
        <v>0</v>
      </c>
      <c r="L116" s="4">
        <v>0</v>
      </c>
      <c r="M116" s="20">
        <v>6.3597829679999993</v>
      </c>
      <c r="N116" s="31">
        <f t="shared" si="18"/>
        <v>0</v>
      </c>
    </row>
    <row r="117" spans="1:14" s="12" customFormat="1">
      <c r="A117" s="143"/>
      <c r="B117" s="19" t="s">
        <v>28</v>
      </c>
      <c r="C117" s="9" t="s">
        <v>34</v>
      </c>
      <c r="D117" s="9" t="s">
        <v>34</v>
      </c>
      <c r="E117" s="9" t="s">
        <v>34</v>
      </c>
      <c r="F117" s="4">
        <f>G117/M117</f>
        <v>3356.6001676883161</v>
      </c>
      <c r="G117" s="4">
        <f>H114</f>
        <v>22500</v>
      </c>
      <c r="H117" s="4">
        <f t="shared" si="23"/>
        <v>2500</v>
      </c>
      <c r="I117" s="4">
        <v>0</v>
      </c>
      <c r="J117" s="4">
        <v>0</v>
      </c>
      <c r="K117" s="4">
        <v>2500</v>
      </c>
      <c r="L117" s="4">
        <v>0</v>
      </c>
      <c r="M117" s="21">
        <v>6.7032112482719999</v>
      </c>
      <c r="N117" s="31">
        <f t="shared" si="18"/>
        <v>372.95557418759063</v>
      </c>
    </row>
    <row r="118" spans="1:14" s="12" customFormat="1">
      <c r="A118" s="143"/>
      <c r="B118" s="19" t="s">
        <v>29</v>
      </c>
      <c r="C118" s="9" t="s">
        <v>34</v>
      </c>
      <c r="D118" s="9" t="s">
        <v>34</v>
      </c>
      <c r="E118" s="9" t="s">
        <v>34</v>
      </c>
      <c r="F118" s="4">
        <f>G118/M118</f>
        <v>2830.7823467748813</v>
      </c>
      <c r="G118" s="4">
        <f>G117-H117</f>
        <v>20000</v>
      </c>
      <c r="H118" s="4">
        <f t="shared" si="23"/>
        <v>10000</v>
      </c>
      <c r="I118" s="4">
        <v>0</v>
      </c>
      <c r="J118" s="4">
        <v>0</v>
      </c>
      <c r="K118" s="4">
        <v>10000</v>
      </c>
      <c r="L118" s="4">
        <v>0</v>
      </c>
      <c r="M118" s="21">
        <v>7.0651846556786886</v>
      </c>
      <c r="N118" s="31">
        <f t="shared" si="18"/>
        <v>1415.3911733874406</v>
      </c>
    </row>
    <row r="119" spans="1:14" s="12" customFormat="1">
      <c r="A119" s="144"/>
      <c r="B119" s="19" t="s">
        <v>30</v>
      </c>
      <c r="C119" s="9" t="s">
        <v>34</v>
      </c>
      <c r="D119" s="9" t="s">
        <v>34</v>
      </c>
      <c r="E119" s="9" t="s">
        <v>34</v>
      </c>
      <c r="F119" s="4">
        <f>G119/M119</f>
        <v>1342.8758760791657</v>
      </c>
      <c r="G119" s="4">
        <f>G118-H118</f>
        <v>10000</v>
      </c>
      <c r="H119" s="4">
        <f t="shared" si="23"/>
        <v>10000</v>
      </c>
      <c r="I119" s="4">
        <v>0</v>
      </c>
      <c r="J119" s="4">
        <v>0</v>
      </c>
      <c r="K119" s="4">
        <v>10000</v>
      </c>
      <c r="L119" s="4">
        <v>0</v>
      </c>
      <c r="M119" s="21">
        <v>7.4467046270853379</v>
      </c>
      <c r="N119" s="31">
        <f t="shared" si="18"/>
        <v>1342.8758760791657</v>
      </c>
    </row>
    <row r="120" spans="1:14" s="12" customFormat="1" ht="32.25" customHeight="1">
      <c r="A120" s="142" t="s">
        <v>71</v>
      </c>
      <c r="B120" s="19" t="s">
        <v>39</v>
      </c>
      <c r="C120" s="9" t="s">
        <v>214</v>
      </c>
      <c r="D120" s="9" t="s">
        <v>157</v>
      </c>
      <c r="E120" s="4">
        <v>7575.8</v>
      </c>
      <c r="F120" s="9" t="s">
        <v>34</v>
      </c>
      <c r="G120" s="9" t="s">
        <v>34</v>
      </c>
      <c r="H120" s="4">
        <f t="shared" si="23"/>
        <v>0</v>
      </c>
      <c r="I120" s="4">
        <f>SUM(I121:I125)</f>
        <v>0</v>
      </c>
      <c r="J120" s="4">
        <f>SUM(J121:J125)</f>
        <v>0</v>
      </c>
      <c r="K120" s="4">
        <f>SUM(K121:K125)</f>
        <v>0</v>
      </c>
      <c r="L120" s="4">
        <f>SUM(L121:L125)</f>
        <v>0</v>
      </c>
      <c r="M120" s="20"/>
      <c r="N120" s="30">
        <f>SUM(N121:N125)</f>
        <v>0</v>
      </c>
    </row>
    <row r="121" spans="1:14" s="12" customFormat="1">
      <c r="A121" s="143"/>
      <c r="B121" s="47" t="s">
        <v>2</v>
      </c>
      <c r="C121" s="9" t="s">
        <v>34</v>
      </c>
      <c r="D121" s="9" t="s">
        <v>34</v>
      </c>
      <c r="E121" s="9" t="s">
        <v>34</v>
      </c>
      <c r="F121" s="4">
        <v>0</v>
      </c>
      <c r="G121" s="4">
        <v>0</v>
      </c>
      <c r="H121" s="4">
        <f t="shared" si="23"/>
        <v>0</v>
      </c>
      <c r="I121" s="4">
        <v>0</v>
      </c>
      <c r="J121" s="4">
        <v>0</v>
      </c>
      <c r="K121" s="4">
        <v>0</v>
      </c>
      <c r="L121" s="4">
        <v>0</v>
      </c>
      <c r="M121" s="20">
        <v>6.0168239999999997</v>
      </c>
      <c r="N121" s="31">
        <f t="shared" si="18"/>
        <v>0</v>
      </c>
    </row>
    <row r="122" spans="1:14" s="12" customFormat="1">
      <c r="A122" s="143"/>
      <c r="B122" s="47" t="s">
        <v>0</v>
      </c>
      <c r="C122" s="9" t="s">
        <v>34</v>
      </c>
      <c r="D122" s="9" t="s">
        <v>34</v>
      </c>
      <c r="E122" s="9" t="s">
        <v>34</v>
      </c>
      <c r="F122" s="4">
        <f>G122/5.28</f>
        <v>0</v>
      </c>
      <c r="G122" s="4">
        <f>G121-H121</f>
        <v>0</v>
      </c>
      <c r="H122" s="4">
        <f t="shared" si="23"/>
        <v>0</v>
      </c>
      <c r="I122" s="4">
        <v>0</v>
      </c>
      <c r="J122" s="4">
        <v>0</v>
      </c>
      <c r="K122" s="4">
        <v>0</v>
      </c>
      <c r="L122" s="4">
        <v>0</v>
      </c>
      <c r="M122" s="20">
        <v>6.3597829679999993</v>
      </c>
      <c r="N122" s="31">
        <f t="shared" si="18"/>
        <v>0</v>
      </c>
    </row>
    <row r="123" spans="1:14" s="12" customFormat="1">
      <c r="A123" s="143"/>
      <c r="B123" s="19" t="s">
        <v>28</v>
      </c>
      <c r="C123" s="9" t="s">
        <v>34</v>
      </c>
      <c r="D123" s="9" t="s">
        <v>34</v>
      </c>
      <c r="E123" s="9" t="s">
        <v>34</v>
      </c>
      <c r="F123" s="4">
        <f>G123/5.28</f>
        <v>0</v>
      </c>
      <c r="G123" s="4">
        <f>G122-H122</f>
        <v>0</v>
      </c>
      <c r="H123" s="4">
        <f t="shared" si="23"/>
        <v>0</v>
      </c>
      <c r="I123" s="4">
        <v>0</v>
      </c>
      <c r="J123" s="4">
        <v>0</v>
      </c>
      <c r="K123" s="4">
        <v>0</v>
      </c>
      <c r="L123" s="4">
        <v>0</v>
      </c>
      <c r="M123" s="21">
        <v>6.7032112482719999</v>
      </c>
      <c r="N123" s="31">
        <f t="shared" si="18"/>
        <v>0</v>
      </c>
    </row>
    <row r="124" spans="1:14" s="12" customFormat="1">
      <c r="A124" s="143"/>
      <c r="B124" s="19" t="s">
        <v>29</v>
      </c>
      <c r="C124" s="9" t="s">
        <v>34</v>
      </c>
      <c r="D124" s="9" t="s">
        <v>34</v>
      </c>
      <c r="E124" s="9" t="s">
        <v>34</v>
      </c>
      <c r="F124" s="4">
        <f>G124/5.28</f>
        <v>0</v>
      </c>
      <c r="G124" s="4">
        <f>G123-H123</f>
        <v>0</v>
      </c>
      <c r="H124" s="4">
        <f t="shared" si="23"/>
        <v>0</v>
      </c>
      <c r="I124" s="4">
        <v>0</v>
      </c>
      <c r="J124" s="4">
        <v>0</v>
      </c>
      <c r="K124" s="4">
        <v>0</v>
      </c>
      <c r="L124" s="4">
        <v>0</v>
      </c>
      <c r="M124" s="21">
        <v>7.0651846556786886</v>
      </c>
      <c r="N124" s="31">
        <f t="shared" si="18"/>
        <v>0</v>
      </c>
    </row>
    <row r="125" spans="1:14" s="12" customFormat="1">
      <c r="A125" s="144"/>
      <c r="B125" s="19" t="s">
        <v>30</v>
      </c>
      <c r="C125" s="9" t="s">
        <v>34</v>
      </c>
      <c r="D125" s="9" t="s">
        <v>34</v>
      </c>
      <c r="E125" s="9" t="s">
        <v>34</v>
      </c>
      <c r="F125" s="4">
        <f>G125/5.28</f>
        <v>0</v>
      </c>
      <c r="G125" s="4">
        <f>G124-H124</f>
        <v>0</v>
      </c>
      <c r="H125" s="4">
        <f t="shared" si="23"/>
        <v>0</v>
      </c>
      <c r="I125" s="4">
        <v>0</v>
      </c>
      <c r="J125" s="4">
        <v>0</v>
      </c>
      <c r="K125" s="4">
        <v>0</v>
      </c>
      <c r="L125" s="4">
        <v>0</v>
      </c>
      <c r="M125" s="21">
        <v>7.4467046270853379</v>
      </c>
      <c r="N125" s="31">
        <f t="shared" si="18"/>
        <v>0</v>
      </c>
    </row>
    <row r="126" spans="1:14" s="12" customFormat="1" ht="32.25" customHeight="1">
      <c r="A126" s="142" t="s">
        <v>72</v>
      </c>
      <c r="B126" s="19" t="s">
        <v>237</v>
      </c>
      <c r="C126" s="9" t="s">
        <v>66</v>
      </c>
      <c r="D126" s="9" t="s">
        <v>63</v>
      </c>
      <c r="E126" s="4">
        <v>5576.1126672016917</v>
      </c>
      <c r="F126" s="9" t="s">
        <v>34</v>
      </c>
      <c r="G126" s="9" t="s">
        <v>34</v>
      </c>
      <c r="H126" s="4">
        <f t="shared" si="23"/>
        <v>40000</v>
      </c>
      <c r="I126" s="4">
        <f>SUM(I127:I131)</f>
        <v>0</v>
      </c>
      <c r="J126" s="4">
        <f>SUM(J127:J131)</f>
        <v>0</v>
      </c>
      <c r="K126" s="4">
        <f>SUM(K127:K131)</f>
        <v>40000</v>
      </c>
      <c r="L126" s="4">
        <f>SUM(L127:L131)</f>
        <v>0</v>
      </c>
      <c r="M126" s="20"/>
      <c r="N126" s="30">
        <f>SUM(N127:N131)</f>
        <v>5576.1126672016917</v>
      </c>
    </row>
    <row r="127" spans="1:14" s="12" customFormat="1">
      <c r="A127" s="143"/>
      <c r="B127" s="47" t="s">
        <v>2</v>
      </c>
      <c r="C127" s="9" t="s">
        <v>34</v>
      </c>
      <c r="D127" s="9" t="s">
        <v>34</v>
      </c>
      <c r="E127" s="9" t="s">
        <v>34</v>
      </c>
      <c r="F127" s="4">
        <f>G127/M127</f>
        <v>0</v>
      </c>
      <c r="G127" s="4">
        <v>0</v>
      </c>
      <c r="H127" s="4">
        <f t="shared" si="23"/>
        <v>0</v>
      </c>
      <c r="I127" s="4">
        <v>0</v>
      </c>
      <c r="J127" s="4">
        <v>0</v>
      </c>
      <c r="K127" s="4">
        <v>0</v>
      </c>
      <c r="L127" s="4">
        <v>0</v>
      </c>
      <c r="M127" s="20">
        <v>6.0168239999999997</v>
      </c>
      <c r="N127" s="31">
        <f t="shared" si="18"/>
        <v>0</v>
      </c>
    </row>
    <row r="128" spans="1:14" s="12" customFormat="1">
      <c r="A128" s="143"/>
      <c r="B128" s="47" t="s">
        <v>0</v>
      </c>
      <c r="C128" s="9" t="s">
        <v>34</v>
      </c>
      <c r="D128" s="9" t="s">
        <v>34</v>
      </c>
      <c r="E128" s="9" t="s">
        <v>34</v>
      </c>
      <c r="F128" s="4">
        <f>G128/M128</f>
        <v>0</v>
      </c>
      <c r="G128" s="4">
        <v>0</v>
      </c>
      <c r="H128" s="4">
        <f t="shared" si="23"/>
        <v>0</v>
      </c>
      <c r="I128" s="4">
        <v>0</v>
      </c>
      <c r="J128" s="4">
        <v>0</v>
      </c>
      <c r="K128" s="4">
        <v>0</v>
      </c>
      <c r="L128" s="4">
        <v>0</v>
      </c>
      <c r="M128" s="20">
        <v>6.3597829679999993</v>
      </c>
      <c r="N128" s="31">
        <f t="shared" si="18"/>
        <v>0</v>
      </c>
    </row>
    <row r="129" spans="1:14" s="12" customFormat="1">
      <c r="A129" s="143"/>
      <c r="B129" s="19" t="s">
        <v>28</v>
      </c>
      <c r="C129" s="9" t="s">
        <v>34</v>
      </c>
      <c r="D129" s="9" t="s">
        <v>34</v>
      </c>
      <c r="E129" s="9" t="s">
        <v>34</v>
      </c>
      <c r="F129" s="4">
        <f>G129/M129</f>
        <v>5967.28918700145</v>
      </c>
      <c r="G129" s="17">
        <f>H126</f>
        <v>40000</v>
      </c>
      <c r="H129" s="4">
        <f t="shared" si="23"/>
        <v>4000</v>
      </c>
      <c r="I129" s="4">
        <v>0</v>
      </c>
      <c r="J129" s="4">
        <v>0</v>
      </c>
      <c r="K129" s="4">
        <v>4000</v>
      </c>
      <c r="L129" s="4">
        <v>0</v>
      </c>
      <c r="M129" s="21">
        <v>6.7032112482719999</v>
      </c>
      <c r="N129" s="31">
        <f t="shared" si="18"/>
        <v>596.72891870014507</v>
      </c>
    </row>
    <row r="130" spans="1:14" s="12" customFormat="1">
      <c r="A130" s="143"/>
      <c r="B130" s="19" t="s">
        <v>29</v>
      </c>
      <c r="C130" s="9" t="s">
        <v>34</v>
      </c>
      <c r="D130" s="9" t="s">
        <v>34</v>
      </c>
      <c r="E130" s="9" t="s">
        <v>34</v>
      </c>
      <c r="F130" s="4">
        <f>G130/M130</f>
        <v>5095.4082241947863</v>
      </c>
      <c r="G130" s="17">
        <f>G129-H129</f>
        <v>36000</v>
      </c>
      <c r="H130" s="4">
        <f t="shared" si="23"/>
        <v>20000</v>
      </c>
      <c r="I130" s="4">
        <v>0</v>
      </c>
      <c r="J130" s="4">
        <v>0</v>
      </c>
      <c r="K130" s="4">
        <v>20000</v>
      </c>
      <c r="L130" s="4">
        <v>0</v>
      </c>
      <c r="M130" s="21">
        <v>7.0651846556786886</v>
      </c>
      <c r="N130" s="31">
        <f t="shared" si="18"/>
        <v>2830.7823467748813</v>
      </c>
    </row>
    <row r="131" spans="1:14" s="12" customFormat="1">
      <c r="A131" s="144"/>
      <c r="B131" s="19" t="s">
        <v>30</v>
      </c>
      <c r="C131" s="9" t="s">
        <v>34</v>
      </c>
      <c r="D131" s="9" t="s">
        <v>34</v>
      </c>
      <c r="E131" s="9" t="s">
        <v>34</v>
      </c>
      <c r="F131" s="4">
        <f>G131/M131</f>
        <v>2148.6014017266652</v>
      </c>
      <c r="G131" s="17">
        <f>G130-H130</f>
        <v>16000</v>
      </c>
      <c r="H131" s="4">
        <f t="shared" si="23"/>
        <v>16000</v>
      </c>
      <c r="I131" s="4">
        <v>0</v>
      </c>
      <c r="J131" s="4">
        <v>0</v>
      </c>
      <c r="K131" s="4">
        <v>16000</v>
      </c>
      <c r="L131" s="4">
        <v>0</v>
      </c>
      <c r="M131" s="21">
        <v>7.4467046270853379</v>
      </c>
      <c r="N131" s="31">
        <f t="shared" si="18"/>
        <v>2148.6014017266652</v>
      </c>
    </row>
    <row r="132" spans="1:14" s="12" customFormat="1" ht="33.75" customHeight="1">
      <c r="A132" s="142" t="s">
        <v>73</v>
      </c>
      <c r="B132" s="19" t="s">
        <v>40</v>
      </c>
      <c r="C132" s="9" t="s">
        <v>239</v>
      </c>
      <c r="D132" s="9" t="s">
        <v>63</v>
      </c>
      <c r="E132" s="4">
        <v>4584.9472632250181</v>
      </c>
      <c r="F132" s="9" t="s">
        <v>34</v>
      </c>
      <c r="G132" s="9" t="s">
        <v>34</v>
      </c>
      <c r="H132" s="4">
        <f t="shared" si="23"/>
        <v>33000</v>
      </c>
      <c r="I132" s="4">
        <f>SUM(I133:I137)</f>
        <v>0</v>
      </c>
      <c r="J132" s="4">
        <f>SUM(J133:J137)</f>
        <v>0</v>
      </c>
      <c r="K132" s="4">
        <f>SUM(K133:K137)</f>
        <v>33000</v>
      </c>
      <c r="L132" s="4">
        <f>SUM(L133:L137)</f>
        <v>0</v>
      </c>
      <c r="M132" s="20"/>
      <c r="N132" s="30">
        <f>SUM(N133:N137)</f>
        <v>4584.9472632250181</v>
      </c>
    </row>
    <row r="133" spans="1:14" s="12" customFormat="1">
      <c r="A133" s="143"/>
      <c r="B133" s="47" t="s">
        <v>2</v>
      </c>
      <c r="C133" s="9" t="s">
        <v>34</v>
      </c>
      <c r="D133" s="9" t="s">
        <v>34</v>
      </c>
      <c r="E133" s="9" t="s">
        <v>34</v>
      </c>
      <c r="F133" s="4">
        <f>G133/M133</f>
        <v>0</v>
      </c>
      <c r="G133" s="4">
        <v>0</v>
      </c>
      <c r="H133" s="4">
        <f t="shared" si="23"/>
        <v>0</v>
      </c>
      <c r="I133" s="4">
        <v>0</v>
      </c>
      <c r="J133" s="4">
        <v>0</v>
      </c>
      <c r="K133" s="4">
        <v>0</v>
      </c>
      <c r="L133" s="4">
        <v>0</v>
      </c>
      <c r="M133" s="20">
        <v>6.0168239999999997</v>
      </c>
      <c r="N133" s="31">
        <f t="shared" si="18"/>
        <v>0</v>
      </c>
    </row>
    <row r="134" spans="1:14" s="12" customFormat="1">
      <c r="A134" s="143"/>
      <c r="B134" s="47" t="s">
        <v>0</v>
      </c>
      <c r="C134" s="9" t="s">
        <v>34</v>
      </c>
      <c r="D134" s="9" t="s">
        <v>34</v>
      </c>
      <c r="E134" s="9" t="s">
        <v>34</v>
      </c>
      <c r="F134" s="4">
        <f>G134/M134</f>
        <v>0</v>
      </c>
      <c r="G134" s="4">
        <v>0</v>
      </c>
      <c r="H134" s="4">
        <f t="shared" si="23"/>
        <v>0</v>
      </c>
      <c r="I134" s="4">
        <v>0</v>
      </c>
      <c r="J134" s="4">
        <v>0</v>
      </c>
      <c r="K134" s="4">
        <v>0</v>
      </c>
      <c r="L134" s="4">
        <v>0</v>
      </c>
      <c r="M134" s="20">
        <v>6.3597829679999993</v>
      </c>
      <c r="N134" s="31">
        <f t="shared" si="18"/>
        <v>0</v>
      </c>
    </row>
    <row r="135" spans="1:14" s="12" customFormat="1">
      <c r="A135" s="143"/>
      <c r="B135" s="19" t="s">
        <v>28</v>
      </c>
      <c r="C135" s="9" t="s">
        <v>34</v>
      </c>
      <c r="D135" s="9" t="s">
        <v>34</v>
      </c>
      <c r="E135" s="9" t="s">
        <v>34</v>
      </c>
      <c r="F135" s="4">
        <f>G135/M135</f>
        <v>4923.0135792761967</v>
      </c>
      <c r="G135" s="17">
        <f>H132</f>
        <v>33000</v>
      </c>
      <c r="H135" s="4">
        <f t="shared" si="23"/>
        <v>3000</v>
      </c>
      <c r="I135" s="4">
        <v>0</v>
      </c>
      <c r="J135" s="4">
        <v>0</v>
      </c>
      <c r="K135" s="4">
        <v>3000</v>
      </c>
      <c r="L135" s="4">
        <v>0</v>
      </c>
      <c r="M135" s="21">
        <v>6.7032112482719999</v>
      </c>
      <c r="N135" s="31">
        <f t="shared" si="18"/>
        <v>447.54668902510878</v>
      </c>
    </row>
    <row r="136" spans="1:14" s="12" customFormat="1">
      <c r="A136" s="143"/>
      <c r="B136" s="19" t="s">
        <v>29</v>
      </c>
      <c r="C136" s="9" t="s">
        <v>34</v>
      </c>
      <c r="D136" s="9" t="s">
        <v>34</v>
      </c>
      <c r="E136" s="9" t="s">
        <v>34</v>
      </c>
      <c r="F136" s="4">
        <f>G136/M136</f>
        <v>4246.1735201623223</v>
      </c>
      <c r="G136" s="17">
        <f>G135-H135</f>
        <v>30000</v>
      </c>
      <c r="H136" s="4">
        <f t="shared" si="23"/>
        <v>15000</v>
      </c>
      <c r="I136" s="4">
        <v>0</v>
      </c>
      <c r="J136" s="4">
        <v>0</v>
      </c>
      <c r="K136" s="4">
        <v>15000</v>
      </c>
      <c r="L136" s="4">
        <v>0</v>
      </c>
      <c r="M136" s="21">
        <v>7.0651846556786886</v>
      </c>
      <c r="N136" s="31">
        <f t="shared" si="18"/>
        <v>2123.0867600811612</v>
      </c>
    </row>
    <row r="137" spans="1:14" s="12" customFormat="1">
      <c r="A137" s="144"/>
      <c r="B137" s="19" t="s">
        <v>30</v>
      </c>
      <c r="C137" s="9" t="s">
        <v>34</v>
      </c>
      <c r="D137" s="9" t="s">
        <v>34</v>
      </c>
      <c r="E137" s="9" t="s">
        <v>34</v>
      </c>
      <c r="F137" s="4">
        <f>G137/M137</f>
        <v>2014.3138141187485</v>
      </c>
      <c r="G137" s="17">
        <f>G136-H136</f>
        <v>15000</v>
      </c>
      <c r="H137" s="4">
        <f t="shared" si="23"/>
        <v>15000</v>
      </c>
      <c r="I137" s="4">
        <v>0</v>
      </c>
      <c r="J137" s="4">
        <v>0</v>
      </c>
      <c r="K137" s="4">
        <v>15000</v>
      </c>
      <c r="L137" s="4">
        <v>0</v>
      </c>
      <c r="M137" s="21">
        <v>7.4467046270853379</v>
      </c>
      <c r="N137" s="31">
        <f t="shared" si="18"/>
        <v>2014.3138141187485</v>
      </c>
    </row>
    <row r="138" spans="1:14" s="12" customFormat="1" ht="36.75" customHeight="1">
      <c r="A138" s="142" t="s">
        <v>74</v>
      </c>
      <c r="B138" s="19" t="s">
        <v>41</v>
      </c>
      <c r="C138" s="9" t="s">
        <v>42</v>
      </c>
      <c r="D138" s="9" t="s">
        <v>157</v>
      </c>
      <c r="E138" s="4">
        <v>11363.6</v>
      </c>
      <c r="F138" s="4" t="s">
        <v>34</v>
      </c>
      <c r="G138" s="9" t="s">
        <v>34</v>
      </c>
      <c r="H138" s="4">
        <f t="shared" si="23"/>
        <v>0</v>
      </c>
      <c r="I138" s="4">
        <f>SUM(I139:I143)</f>
        <v>0</v>
      </c>
      <c r="J138" s="4">
        <f>SUM(J139:J143)</f>
        <v>0</v>
      </c>
      <c r="K138" s="4">
        <f>SUM(K139:K143)</f>
        <v>0</v>
      </c>
      <c r="L138" s="4">
        <f>SUM(L139:L143)</f>
        <v>0</v>
      </c>
      <c r="M138" s="20"/>
      <c r="N138" s="30">
        <f>SUM(N139:N143)</f>
        <v>0</v>
      </c>
    </row>
    <row r="139" spans="1:14" s="12" customFormat="1">
      <c r="A139" s="143"/>
      <c r="B139" s="47" t="s">
        <v>2</v>
      </c>
      <c r="C139" s="9" t="s">
        <v>34</v>
      </c>
      <c r="D139" s="9" t="s">
        <v>34</v>
      </c>
      <c r="E139" s="9" t="s">
        <v>34</v>
      </c>
      <c r="F139" s="4">
        <v>0</v>
      </c>
      <c r="G139" s="4">
        <v>0</v>
      </c>
      <c r="H139" s="4">
        <f t="shared" si="23"/>
        <v>0</v>
      </c>
      <c r="I139" s="4">
        <v>0</v>
      </c>
      <c r="J139" s="4">
        <v>0</v>
      </c>
      <c r="K139" s="4">
        <v>0</v>
      </c>
      <c r="L139" s="4">
        <v>0</v>
      </c>
      <c r="M139" s="20">
        <v>6.0168239999999997</v>
      </c>
      <c r="N139" s="31">
        <f t="shared" si="18"/>
        <v>0</v>
      </c>
    </row>
    <row r="140" spans="1:14" s="12" customFormat="1">
      <c r="A140" s="143"/>
      <c r="B140" s="47" t="s">
        <v>0</v>
      </c>
      <c r="C140" s="9" t="s">
        <v>34</v>
      </c>
      <c r="D140" s="9" t="s">
        <v>34</v>
      </c>
      <c r="E140" s="9" t="s">
        <v>34</v>
      </c>
      <c r="F140" s="4">
        <v>0</v>
      </c>
      <c r="G140" s="4">
        <v>0</v>
      </c>
      <c r="H140" s="4">
        <f t="shared" si="23"/>
        <v>0</v>
      </c>
      <c r="I140" s="4">
        <v>0</v>
      </c>
      <c r="J140" s="4">
        <v>0</v>
      </c>
      <c r="K140" s="4">
        <v>0</v>
      </c>
      <c r="L140" s="4">
        <v>0</v>
      </c>
      <c r="M140" s="20">
        <v>6.3597829679999993</v>
      </c>
      <c r="N140" s="31">
        <f t="shared" si="18"/>
        <v>0</v>
      </c>
    </row>
    <row r="141" spans="1:14" s="12" customFormat="1">
      <c r="A141" s="143"/>
      <c r="B141" s="19" t="s">
        <v>28</v>
      </c>
      <c r="C141" s="9" t="s">
        <v>34</v>
      </c>
      <c r="D141" s="9" t="s">
        <v>34</v>
      </c>
      <c r="E141" s="9" t="s">
        <v>34</v>
      </c>
      <c r="F141" s="4">
        <v>0</v>
      </c>
      <c r="G141" s="4">
        <v>0</v>
      </c>
      <c r="H141" s="4">
        <f t="shared" si="23"/>
        <v>0</v>
      </c>
      <c r="I141" s="4">
        <v>0</v>
      </c>
      <c r="J141" s="4">
        <v>0</v>
      </c>
      <c r="K141" s="4">
        <v>0</v>
      </c>
      <c r="L141" s="4">
        <v>0</v>
      </c>
      <c r="M141" s="21">
        <v>6.7032112482719999</v>
      </c>
      <c r="N141" s="31">
        <f t="shared" si="18"/>
        <v>0</v>
      </c>
    </row>
    <row r="142" spans="1:14" s="12" customFormat="1">
      <c r="A142" s="143"/>
      <c r="B142" s="19" t="s">
        <v>29</v>
      </c>
      <c r="C142" s="9" t="s">
        <v>34</v>
      </c>
      <c r="D142" s="9" t="s">
        <v>34</v>
      </c>
      <c r="E142" s="9" t="s">
        <v>34</v>
      </c>
      <c r="F142" s="4">
        <v>0</v>
      </c>
      <c r="G142" s="4">
        <v>0</v>
      </c>
      <c r="H142" s="4">
        <f t="shared" si="23"/>
        <v>0</v>
      </c>
      <c r="I142" s="4">
        <v>0</v>
      </c>
      <c r="J142" s="4">
        <v>0</v>
      </c>
      <c r="K142" s="4">
        <v>0</v>
      </c>
      <c r="L142" s="4">
        <v>0</v>
      </c>
      <c r="M142" s="21">
        <v>7.0651846556786886</v>
      </c>
      <c r="N142" s="31">
        <f t="shared" si="18"/>
        <v>0</v>
      </c>
    </row>
    <row r="143" spans="1:14" s="12" customFormat="1">
      <c r="A143" s="144"/>
      <c r="B143" s="19" t="s">
        <v>30</v>
      </c>
      <c r="C143" s="9" t="s">
        <v>34</v>
      </c>
      <c r="D143" s="9" t="s">
        <v>34</v>
      </c>
      <c r="E143" s="9" t="s">
        <v>34</v>
      </c>
      <c r="F143" s="4">
        <v>0</v>
      </c>
      <c r="G143" s="4">
        <v>0</v>
      </c>
      <c r="H143" s="4">
        <f t="shared" si="23"/>
        <v>0</v>
      </c>
      <c r="I143" s="4">
        <v>0</v>
      </c>
      <c r="J143" s="4">
        <v>0</v>
      </c>
      <c r="K143" s="4">
        <v>0</v>
      </c>
      <c r="L143" s="4">
        <v>0</v>
      </c>
      <c r="M143" s="21">
        <v>7.4467046270853379</v>
      </c>
      <c r="N143" s="31">
        <f t="shared" si="18"/>
        <v>0</v>
      </c>
    </row>
    <row r="144" spans="1:14" s="12" customFormat="1" ht="29.25" customHeight="1">
      <c r="A144" s="142" t="s">
        <v>75</v>
      </c>
      <c r="B144" s="19" t="s">
        <v>43</v>
      </c>
      <c r="C144" s="50" t="s">
        <v>215</v>
      </c>
      <c r="D144" s="9" t="s">
        <v>63</v>
      </c>
      <c r="E144" s="4">
        <v>4250.0893462169688</v>
      </c>
      <c r="F144" s="9" t="s">
        <v>34</v>
      </c>
      <c r="G144" s="9" t="s">
        <v>34</v>
      </c>
      <c r="H144" s="4">
        <f t="shared" si="23"/>
        <v>30000</v>
      </c>
      <c r="I144" s="4">
        <f>SUM(I145:I149)</f>
        <v>0</v>
      </c>
      <c r="J144" s="4">
        <f>SUM(J145:J149)</f>
        <v>0</v>
      </c>
      <c r="K144" s="4">
        <f>SUM(K145:K149)</f>
        <v>30000</v>
      </c>
      <c r="L144" s="4">
        <f>SUM(L145:L149)</f>
        <v>0</v>
      </c>
      <c r="M144" s="20"/>
      <c r="N144" s="30">
        <f>SUM(N145:N149)</f>
        <v>4250.0893462169688</v>
      </c>
    </row>
    <row r="145" spans="1:14" s="12" customFormat="1">
      <c r="A145" s="143"/>
      <c r="B145" s="47" t="s">
        <v>2</v>
      </c>
      <c r="C145" s="9" t="s">
        <v>34</v>
      </c>
      <c r="D145" s="9" t="s">
        <v>34</v>
      </c>
      <c r="E145" s="9" t="s">
        <v>34</v>
      </c>
      <c r="F145" s="4">
        <f>G145/M145</f>
        <v>0</v>
      </c>
      <c r="G145" s="4">
        <v>0</v>
      </c>
      <c r="H145" s="4">
        <f t="shared" si="23"/>
        <v>0</v>
      </c>
      <c r="I145" s="4">
        <v>0</v>
      </c>
      <c r="J145" s="4">
        <v>0</v>
      </c>
      <c r="K145" s="4">
        <v>0</v>
      </c>
      <c r="L145" s="4">
        <v>0</v>
      </c>
      <c r="M145" s="20">
        <v>6.0168239999999997</v>
      </c>
      <c r="N145" s="31">
        <f t="shared" si="18"/>
        <v>0</v>
      </c>
    </row>
    <row r="146" spans="1:14" s="12" customFormat="1">
      <c r="A146" s="143"/>
      <c r="B146" s="47" t="s">
        <v>0</v>
      </c>
      <c r="C146" s="9" t="s">
        <v>34</v>
      </c>
      <c r="D146" s="9" t="s">
        <v>34</v>
      </c>
      <c r="E146" s="9" t="s">
        <v>34</v>
      </c>
      <c r="F146" s="4">
        <f>G146/M146</f>
        <v>0</v>
      </c>
      <c r="G146" s="4">
        <v>0</v>
      </c>
      <c r="H146" s="4">
        <f t="shared" si="23"/>
        <v>0</v>
      </c>
      <c r="I146" s="4">
        <v>0</v>
      </c>
      <c r="J146" s="4">
        <v>0</v>
      </c>
      <c r="K146" s="4">
        <v>0</v>
      </c>
      <c r="L146" s="4">
        <v>0</v>
      </c>
      <c r="M146" s="20">
        <v>6.3597829679999993</v>
      </c>
      <c r="N146" s="31">
        <f t="shared" si="18"/>
        <v>0</v>
      </c>
    </row>
    <row r="147" spans="1:14" s="12" customFormat="1">
      <c r="A147" s="143"/>
      <c r="B147" s="19" t="s">
        <v>28</v>
      </c>
      <c r="C147" s="9" t="s">
        <v>34</v>
      </c>
      <c r="D147" s="9" t="s">
        <v>34</v>
      </c>
      <c r="E147" s="9" t="s">
        <v>34</v>
      </c>
      <c r="F147" s="4">
        <f>G147/M147</f>
        <v>4475.4668902510875</v>
      </c>
      <c r="G147" s="17">
        <f>H144</f>
        <v>30000</v>
      </c>
      <c r="H147" s="4">
        <f t="shared" si="23"/>
        <v>10000</v>
      </c>
      <c r="I147" s="4">
        <v>0</v>
      </c>
      <c r="J147" s="4">
        <v>0</v>
      </c>
      <c r="K147" s="4">
        <v>10000</v>
      </c>
      <c r="L147" s="4">
        <v>0</v>
      </c>
      <c r="M147" s="21">
        <v>6.7032112482719999</v>
      </c>
      <c r="N147" s="31">
        <f t="shared" si="18"/>
        <v>1491.8222967503625</v>
      </c>
    </row>
    <row r="148" spans="1:14" s="12" customFormat="1">
      <c r="A148" s="143"/>
      <c r="B148" s="19" t="s">
        <v>29</v>
      </c>
      <c r="C148" s="9" t="s">
        <v>34</v>
      </c>
      <c r="D148" s="9" t="s">
        <v>34</v>
      </c>
      <c r="E148" s="9" t="s">
        <v>34</v>
      </c>
      <c r="F148" s="4">
        <f>G148/M148</f>
        <v>2830.7823467748813</v>
      </c>
      <c r="G148" s="17">
        <f>G147-H147</f>
        <v>20000</v>
      </c>
      <c r="H148" s="4">
        <f t="shared" si="23"/>
        <v>10000</v>
      </c>
      <c r="I148" s="4">
        <v>0</v>
      </c>
      <c r="J148" s="4">
        <v>0</v>
      </c>
      <c r="K148" s="4">
        <v>10000</v>
      </c>
      <c r="L148" s="4">
        <v>0</v>
      </c>
      <c r="M148" s="21">
        <v>7.0651846556786886</v>
      </c>
      <c r="N148" s="31">
        <f t="shared" si="18"/>
        <v>1415.3911733874406</v>
      </c>
    </row>
    <row r="149" spans="1:14" s="12" customFormat="1">
      <c r="A149" s="144"/>
      <c r="B149" s="19" t="s">
        <v>30</v>
      </c>
      <c r="C149" s="9" t="s">
        <v>34</v>
      </c>
      <c r="D149" s="9" t="s">
        <v>34</v>
      </c>
      <c r="E149" s="9" t="s">
        <v>34</v>
      </c>
      <c r="F149" s="4">
        <f>G149/M149</f>
        <v>1342.8758760791657</v>
      </c>
      <c r="G149" s="17">
        <f>G148-H148</f>
        <v>10000</v>
      </c>
      <c r="H149" s="4">
        <f t="shared" si="23"/>
        <v>10000</v>
      </c>
      <c r="I149" s="4">
        <v>0</v>
      </c>
      <c r="J149" s="4">
        <v>0</v>
      </c>
      <c r="K149" s="4">
        <v>10000</v>
      </c>
      <c r="L149" s="4">
        <v>0</v>
      </c>
      <c r="M149" s="21">
        <v>7.4467046270853379</v>
      </c>
      <c r="N149" s="31">
        <f>H149/M149</f>
        <v>1342.8758760791657</v>
      </c>
    </row>
    <row r="150" spans="1:14" s="12" customFormat="1" ht="33.75" customHeight="1">
      <c r="A150" s="142" t="s">
        <v>76</v>
      </c>
      <c r="B150" s="19" t="s">
        <v>44</v>
      </c>
      <c r="C150" s="9" t="s">
        <v>239</v>
      </c>
      <c r="D150" s="9" t="s">
        <v>63</v>
      </c>
      <c r="E150" s="4">
        <v>10698.210280858377</v>
      </c>
      <c r="F150" s="9" t="s">
        <v>34</v>
      </c>
      <c r="G150" s="9" t="s">
        <v>34</v>
      </c>
      <c r="H150" s="4">
        <f t="shared" si="23"/>
        <v>77000</v>
      </c>
      <c r="I150" s="4">
        <f>SUM(I151:I155)</f>
        <v>0</v>
      </c>
      <c r="J150" s="4">
        <f>SUM(J151:J155)</f>
        <v>0</v>
      </c>
      <c r="K150" s="4">
        <f>SUM(K151:K155)</f>
        <v>77000</v>
      </c>
      <c r="L150" s="4">
        <f>SUM(L151:L155)</f>
        <v>0</v>
      </c>
      <c r="M150" s="20"/>
      <c r="N150" s="30">
        <f>SUM(N151:N155)</f>
        <v>10698.210280858377</v>
      </c>
    </row>
    <row r="151" spans="1:14" s="12" customFormat="1">
      <c r="A151" s="143"/>
      <c r="B151" s="47" t="s">
        <v>2</v>
      </c>
      <c r="C151" s="9" t="s">
        <v>34</v>
      </c>
      <c r="D151" s="9" t="s">
        <v>34</v>
      </c>
      <c r="E151" s="9" t="s">
        <v>34</v>
      </c>
      <c r="F151" s="4">
        <f>G151/M151</f>
        <v>0</v>
      </c>
      <c r="G151" s="4">
        <v>0</v>
      </c>
      <c r="H151" s="4">
        <f t="shared" si="23"/>
        <v>0</v>
      </c>
      <c r="I151" s="4">
        <v>0</v>
      </c>
      <c r="J151" s="4">
        <v>0</v>
      </c>
      <c r="K151" s="4">
        <v>0</v>
      </c>
      <c r="L151" s="4">
        <v>0</v>
      </c>
      <c r="M151" s="20">
        <v>6.0168239999999997</v>
      </c>
      <c r="N151" s="31">
        <f t="shared" ref="N151:N207" si="24">H151/M151</f>
        <v>0</v>
      </c>
    </row>
    <row r="152" spans="1:14" s="12" customFormat="1">
      <c r="A152" s="143"/>
      <c r="B152" s="47" t="s">
        <v>0</v>
      </c>
      <c r="C152" s="9" t="s">
        <v>34</v>
      </c>
      <c r="D152" s="9" t="s">
        <v>34</v>
      </c>
      <c r="E152" s="9" t="s">
        <v>34</v>
      </c>
      <c r="F152" s="4">
        <f>G152/M152</f>
        <v>0</v>
      </c>
      <c r="G152" s="4">
        <v>0</v>
      </c>
      <c r="H152" s="4">
        <f t="shared" si="23"/>
        <v>0</v>
      </c>
      <c r="I152" s="4">
        <v>0</v>
      </c>
      <c r="J152" s="4">
        <v>0</v>
      </c>
      <c r="K152" s="4">
        <v>0</v>
      </c>
      <c r="L152" s="4">
        <v>0</v>
      </c>
      <c r="M152" s="20">
        <v>6.3597829679999993</v>
      </c>
      <c r="N152" s="31">
        <f t="shared" si="24"/>
        <v>0</v>
      </c>
    </row>
    <row r="153" spans="1:14" s="12" customFormat="1">
      <c r="A153" s="143"/>
      <c r="B153" s="19" t="s">
        <v>28</v>
      </c>
      <c r="C153" s="9" t="s">
        <v>34</v>
      </c>
      <c r="D153" s="9" t="s">
        <v>34</v>
      </c>
      <c r="E153" s="9" t="s">
        <v>34</v>
      </c>
      <c r="F153" s="4">
        <f>G153/M153</f>
        <v>11487.031684977792</v>
      </c>
      <c r="G153" s="17">
        <f>H150</f>
        <v>77000</v>
      </c>
      <c r="H153" s="4">
        <f t="shared" si="23"/>
        <v>7000</v>
      </c>
      <c r="I153" s="4">
        <v>0</v>
      </c>
      <c r="J153" s="4">
        <v>0</v>
      </c>
      <c r="K153" s="4">
        <v>7000</v>
      </c>
      <c r="L153" s="4">
        <v>0</v>
      </c>
      <c r="M153" s="21">
        <v>6.7032112482719999</v>
      </c>
      <c r="N153" s="31">
        <f t="shared" si="24"/>
        <v>1044.2756077252538</v>
      </c>
    </row>
    <row r="154" spans="1:14" s="12" customFormat="1">
      <c r="A154" s="143"/>
      <c r="B154" s="19" t="s">
        <v>29</v>
      </c>
      <c r="C154" s="9" t="s">
        <v>34</v>
      </c>
      <c r="D154" s="9" t="s">
        <v>34</v>
      </c>
      <c r="E154" s="9" t="s">
        <v>34</v>
      </c>
      <c r="F154" s="4">
        <f>G154/M154</f>
        <v>9907.738213712084</v>
      </c>
      <c r="G154" s="17">
        <f>G153-H153</f>
        <v>70000</v>
      </c>
      <c r="H154" s="4">
        <f t="shared" si="23"/>
        <v>35000</v>
      </c>
      <c r="I154" s="4">
        <v>0</v>
      </c>
      <c r="J154" s="4">
        <v>0</v>
      </c>
      <c r="K154" s="4">
        <v>35000</v>
      </c>
      <c r="L154" s="4">
        <v>0</v>
      </c>
      <c r="M154" s="21">
        <v>7.0651846556786886</v>
      </c>
      <c r="N154" s="31">
        <f>H154/M154</f>
        <v>4953.869106856042</v>
      </c>
    </row>
    <row r="155" spans="1:14" s="12" customFormat="1">
      <c r="A155" s="144"/>
      <c r="B155" s="19" t="s">
        <v>30</v>
      </c>
      <c r="C155" s="9" t="s">
        <v>34</v>
      </c>
      <c r="D155" s="9" t="s">
        <v>34</v>
      </c>
      <c r="E155" s="9" t="s">
        <v>34</v>
      </c>
      <c r="F155" s="4">
        <f>G155/M155</f>
        <v>4700.0655662770796</v>
      </c>
      <c r="G155" s="17">
        <f>G154-H154</f>
        <v>35000</v>
      </c>
      <c r="H155" s="4">
        <f t="shared" ref="H155:H220" si="25">I155+J155+K155+L155</f>
        <v>35000</v>
      </c>
      <c r="I155" s="4">
        <v>0</v>
      </c>
      <c r="J155" s="4">
        <v>0</v>
      </c>
      <c r="K155" s="4">
        <v>35000</v>
      </c>
      <c r="L155" s="4">
        <v>0</v>
      </c>
      <c r="M155" s="21">
        <v>7.4467046270853379</v>
      </c>
      <c r="N155" s="31">
        <f>H155/M155</f>
        <v>4700.0655662770796</v>
      </c>
    </row>
    <row r="156" spans="1:14" s="12" customFormat="1" ht="32.25" customHeight="1">
      <c r="A156" s="142" t="s">
        <v>77</v>
      </c>
      <c r="B156" s="19" t="s">
        <v>45</v>
      </c>
      <c r="C156" s="9" t="s">
        <v>46</v>
      </c>
      <c r="D156" s="9" t="s">
        <v>63</v>
      </c>
      <c r="E156" s="4">
        <v>715.73028163547724</v>
      </c>
      <c r="F156" s="9" t="s">
        <v>34</v>
      </c>
      <c r="G156" s="9" t="s">
        <v>34</v>
      </c>
      <c r="H156" s="4">
        <f t="shared" si="25"/>
        <v>5000</v>
      </c>
      <c r="I156" s="4">
        <f>SUM(I157:I161)</f>
        <v>0</v>
      </c>
      <c r="J156" s="4">
        <f>SUM(J157:J161)</f>
        <v>0</v>
      </c>
      <c r="K156" s="4">
        <f>SUM(K157:K161)</f>
        <v>5000</v>
      </c>
      <c r="L156" s="4">
        <f>SUM(L157:L161)</f>
        <v>0</v>
      </c>
      <c r="M156" s="20"/>
      <c r="N156" s="30">
        <f>SUM(N157:N161)</f>
        <v>715.73028163547724</v>
      </c>
    </row>
    <row r="157" spans="1:14" s="12" customFormat="1">
      <c r="A157" s="143"/>
      <c r="B157" s="47" t="s">
        <v>2</v>
      </c>
      <c r="C157" s="9" t="s">
        <v>34</v>
      </c>
      <c r="D157" s="9" t="s">
        <v>34</v>
      </c>
      <c r="E157" s="9" t="s">
        <v>34</v>
      </c>
      <c r="F157" s="4">
        <f>G157/M157</f>
        <v>0</v>
      </c>
      <c r="G157" s="4">
        <v>0</v>
      </c>
      <c r="H157" s="4">
        <f t="shared" si="25"/>
        <v>0</v>
      </c>
      <c r="I157" s="4">
        <v>0</v>
      </c>
      <c r="J157" s="4">
        <v>0</v>
      </c>
      <c r="K157" s="4">
        <v>0</v>
      </c>
      <c r="L157" s="4">
        <v>0</v>
      </c>
      <c r="M157" s="20">
        <v>6.0168239999999997</v>
      </c>
      <c r="N157" s="31">
        <f t="shared" si="24"/>
        <v>0</v>
      </c>
    </row>
    <row r="158" spans="1:14" s="12" customFormat="1">
      <c r="A158" s="143"/>
      <c r="B158" s="47" t="s">
        <v>0</v>
      </c>
      <c r="C158" s="9" t="s">
        <v>34</v>
      </c>
      <c r="D158" s="9" t="s">
        <v>34</v>
      </c>
      <c r="E158" s="9" t="s">
        <v>34</v>
      </c>
      <c r="F158" s="4">
        <f>G158/M158</f>
        <v>0</v>
      </c>
      <c r="G158" s="4">
        <v>0</v>
      </c>
      <c r="H158" s="4">
        <f t="shared" si="25"/>
        <v>0</v>
      </c>
      <c r="I158" s="4">
        <v>0</v>
      </c>
      <c r="J158" s="4">
        <v>0</v>
      </c>
      <c r="K158" s="4">
        <v>0</v>
      </c>
      <c r="L158" s="4">
        <v>0</v>
      </c>
      <c r="M158" s="20">
        <v>6.3597829679999993</v>
      </c>
      <c r="N158" s="31">
        <f t="shared" si="24"/>
        <v>0</v>
      </c>
    </row>
    <row r="159" spans="1:14" s="12" customFormat="1">
      <c r="A159" s="143"/>
      <c r="B159" s="19" t="s">
        <v>28</v>
      </c>
      <c r="C159" s="9" t="s">
        <v>34</v>
      </c>
      <c r="D159" s="9" t="s">
        <v>34</v>
      </c>
      <c r="E159" s="9" t="s">
        <v>34</v>
      </c>
      <c r="F159" s="4">
        <f>G159/M159</f>
        <v>745.91114837518126</v>
      </c>
      <c r="G159" s="17">
        <f>H156</f>
        <v>5000</v>
      </c>
      <c r="H159" s="4">
        <f t="shared" si="25"/>
        <v>2000</v>
      </c>
      <c r="I159" s="4">
        <v>0</v>
      </c>
      <c r="J159" s="4">
        <v>0</v>
      </c>
      <c r="K159" s="4">
        <v>2000</v>
      </c>
      <c r="L159" s="4">
        <v>0</v>
      </c>
      <c r="M159" s="21">
        <v>6.7032112482719999</v>
      </c>
      <c r="N159" s="31">
        <f t="shared" si="24"/>
        <v>298.36445935007254</v>
      </c>
    </row>
    <row r="160" spans="1:14" s="12" customFormat="1">
      <c r="A160" s="143"/>
      <c r="B160" s="19" t="s">
        <v>29</v>
      </c>
      <c r="C160" s="9" t="s">
        <v>34</v>
      </c>
      <c r="D160" s="9" t="s">
        <v>34</v>
      </c>
      <c r="E160" s="9" t="s">
        <v>34</v>
      </c>
      <c r="F160" s="4">
        <f>G160/M160</f>
        <v>424.61735201623219</v>
      </c>
      <c r="G160" s="17">
        <f>G159-H159</f>
        <v>3000</v>
      </c>
      <c r="H160" s="4">
        <f t="shared" si="25"/>
        <v>2000</v>
      </c>
      <c r="I160" s="4">
        <v>0</v>
      </c>
      <c r="J160" s="4">
        <v>0</v>
      </c>
      <c r="K160" s="4">
        <v>2000</v>
      </c>
      <c r="L160" s="4">
        <v>0</v>
      </c>
      <c r="M160" s="21">
        <v>7.0651846556786886</v>
      </c>
      <c r="N160" s="31">
        <f>H160/M160</f>
        <v>283.07823467748813</v>
      </c>
    </row>
    <row r="161" spans="1:20" s="12" customFormat="1">
      <c r="A161" s="144"/>
      <c r="B161" s="19" t="s">
        <v>30</v>
      </c>
      <c r="C161" s="9" t="s">
        <v>34</v>
      </c>
      <c r="D161" s="9" t="s">
        <v>34</v>
      </c>
      <c r="E161" s="9" t="s">
        <v>34</v>
      </c>
      <c r="F161" s="4">
        <f>G161/M161</f>
        <v>134.28758760791658</v>
      </c>
      <c r="G161" s="17">
        <f>G160-H160</f>
        <v>1000</v>
      </c>
      <c r="H161" s="4">
        <f t="shared" si="25"/>
        <v>1000</v>
      </c>
      <c r="I161" s="4">
        <v>0</v>
      </c>
      <c r="J161" s="4">
        <v>0</v>
      </c>
      <c r="K161" s="4">
        <v>1000</v>
      </c>
      <c r="L161" s="4">
        <v>0</v>
      </c>
      <c r="M161" s="21">
        <v>7.4467046270853379</v>
      </c>
      <c r="N161" s="31">
        <f>H161/M161</f>
        <v>134.28758760791658</v>
      </c>
    </row>
    <row r="162" spans="1:20" s="12" customFormat="1" ht="23.25" customHeight="1">
      <c r="A162" s="142" t="s">
        <v>78</v>
      </c>
      <c r="B162" s="14" t="s">
        <v>216</v>
      </c>
      <c r="C162" s="9" t="s">
        <v>23</v>
      </c>
      <c r="D162" s="9" t="s">
        <v>113</v>
      </c>
      <c r="E162" s="4">
        <v>11896.6</v>
      </c>
      <c r="F162" s="23" t="s">
        <v>14</v>
      </c>
      <c r="G162" s="23" t="s">
        <v>14</v>
      </c>
      <c r="H162" s="4">
        <f t="shared" si="25"/>
        <v>71066.3</v>
      </c>
      <c r="I162" s="4">
        <f>SUM(I163:I167)</f>
        <v>26296</v>
      </c>
      <c r="J162" s="4">
        <f>SUM(J163:J167)</f>
        <v>0</v>
      </c>
      <c r="K162" s="4">
        <f>SUM(K163:K167)</f>
        <v>44770.3</v>
      </c>
      <c r="L162" s="4">
        <f>SUM(L163:L167)</f>
        <v>0</v>
      </c>
      <c r="M162" s="20"/>
      <c r="N162" s="30">
        <f>SUM(N163:N167)</f>
        <v>10807.879395351038</v>
      </c>
      <c r="S162" s="68"/>
      <c r="T162" s="30">
        <f>T163+T164+T165+T166+T167</f>
        <v>31370.11059343833</v>
      </c>
    </row>
    <row r="163" spans="1:20" s="12" customFormat="1">
      <c r="A163" s="143"/>
      <c r="B163" s="47" t="s">
        <v>2</v>
      </c>
      <c r="C163" s="9" t="s">
        <v>34</v>
      </c>
      <c r="D163" s="9" t="s">
        <v>34</v>
      </c>
      <c r="E163" s="9" t="s">
        <v>34</v>
      </c>
      <c r="F163" s="4">
        <v>13083.628858636357</v>
      </c>
      <c r="G163" s="4">
        <f>H162</f>
        <v>71066.3</v>
      </c>
      <c r="H163" s="4">
        <f t="shared" si="25"/>
        <v>18955</v>
      </c>
      <c r="I163" s="25">
        <v>18955</v>
      </c>
      <c r="J163" s="4">
        <v>0</v>
      </c>
      <c r="K163" s="25">
        <v>0</v>
      </c>
      <c r="L163" s="4">
        <v>0</v>
      </c>
      <c r="M163" s="20">
        <v>6.0168239999999997</v>
      </c>
      <c r="N163" s="31">
        <f t="shared" si="24"/>
        <v>3150.3331325629601</v>
      </c>
      <c r="S163" s="68">
        <v>5.4316964175493201</v>
      </c>
      <c r="T163" s="31">
        <f>G163/S163</f>
        <v>13083.628858636357</v>
      </c>
    </row>
    <row r="164" spans="1:20" s="12" customFormat="1">
      <c r="A164" s="143"/>
      <c r="B164" s="47" t="s">
        <v>0</v>
      </c>
      <c r="C164" s="9" t="s">
        <v>34</v>
      </c>
      <c r="D164" s="9" t="s">
        <v>34</v>
      </c>
      <c r="E164" s="9" t="s">
        <v>34</v>
      </c>
      <c r="F164" s="4">
        <v>8351.1698717948711</v>
      </c>
      <c r="G164" s="4">
        <f>G163-H163</f>
        <v>52111.3</v>
      </c>
      <c r="H164" s="4">
        <f t="shared" si="25"/>
        <v>7341</v>
      </c>
      <c r="I164" s="25">
        <v>7341</v>
      </c>
      <c r="J164" s="4">
        <v>0</v>
      </c>
      <c r="K164" s="25">
        <v>0</v>
      </c>
      <c r="L164" s="4">
        <v>0</v>
      </c>
      <c r="M164" s="20">
        <v>6.3597829679999993</v>
      </c>
      <c r="N164" s="31">
        <f t="shared" si="24"/>
        <v>1154.2846724388412</v>
      </c>
      <c r="S164" s="68">
        <v>6.24</v>
      </c>
      <c r="T164" s="31">
        <f>G164/S164</f>
        <v>8351.1698717948711</v>
      </c>
    </row>
    <row r="165" spans="1:20" s="12" customFormat="1">
      <c r="A165" s="143"/>
      <c r="B165" s="19" t="s">
        <v>28</v>
      </c>
      <c r="C165" s="9" t="s">
        <v>34</v>
      </c>
      <c r="D165" s="9" t="s">
        <v>34</v>
      </c>
      <c r="E165" s="9" t="s">
        <v>34</v>
      </c>
      <c r="F165" s="4">
        <v>6682.1343283582091</v>
      </c>
      <c r="G165" s="4">
        <f>G164-H164</f>
        <v>44770.3</v>
      </c>
      <c r="H165" s="4">
        <f t="shared" si="25"/>
        <v>21786</v>
      </c>
      <c r="I165" s="25">
        <v>0</v>
      </c>
      <c r="J165" s="25">
        <v>0</v>
      </c>
      <c r="K165" s="25">
        <v>21786</v>
      </c>
      <c r="L165" s="25">
        <v>0</v>
      </c>
      <c r="M165" s="21">
        <v>6.7032112482719999</v>
      </c>
      <c r="N165" s="31">
        <f t="shared" si="24"/>
        <v>3250.0840557003398</v>
      </c>
      <c r="S165" s="72">
        <v>6.7</v>
      </c>
      <c r="T165" s="31">
        <f>G165/S165</f>
        <v>6682.1343283582091</v>
      </c>
    </row>
    <row r="166" spans="1:20" s="12" customFormat="1">
      <c r="A166" s="143"/>
      <c r="B166" s="19" t="s">
        <v>29</v>
      </c>
      <c r="C166" s="9" t="s">
        <v>34</v>
      </c>
      <c r="D166" s="9" t="s">
        <v>34</v>
      </c>
      <c r="E166" s="9" t="s">
        <v>34</v>
      </c>
      <c r="F166" s="4">
        <v>3253.1775346488998</v>
      </c>
      <c r="G166" s="4">
        <f>G165-H165</f>
        <v>22984.300000000003</v>
      </c>
      <c r="H166" s="4">
        <f t="shared" si="25"/>
        <v>22984.3</v>
      </c>
      <c r="I166" s="25">
        <v>0</v>
      </c>
      <c r="J166" s="25">
        <v>0</v>
      </c>
      <c r="K166" s="25">
        <v>22984.3</v>
      </c>
      <c r="L166" s="25">
        <v>0</v>
      </c>
      <c r="M166" s="21">
        <v>7.0651846556786886</v>
      </c>
      <c r="N166" s="31">
        <f>H166/M166</f>
        <v>3253.1775346488953</v>
      </c>
      <c r="S166" s="72">
        <v>7.0651846556786886</v>
      </c>
      <c r="T166" s="31">
        <f>G166/S166</f>
        <v>3253.1775346488957</v>
      </c>
    </row>
    <row r="167" spans="1:20" s="12" customFormat="1">
      <c r="A167" s="144"/>
      <c r="B167" s="19" t="s">
        <v>30</v>
      </c>
      <c r="C167" s="9" t="s">
        <v>34</v>
      </c>
      <c r="D167" s="9" t="s">
        <v>34</v>
      </c>
      <c r="E167" s="9" t="s">
        <v>34</v>
      </c>
      <c r="F167" s="4">
        <v>0</v>
      </c>
      <c r="G167" s="17">
        <v>0</v>
      </c>
      <c r="H167" s="4">
        <f t="shared" si="25"/>
        <v>0</v>
      </c>
      <c r="I167" s="25">
        <v>0</v>
      </c>
      <c r="J167" s="25">
        <v>0</v>
      </c>
      <c r="K167" s="25">
        <v>0</v>
      </c>
      <c r="L167" s="25">
        <v>0</v>
      </c>
      <c r="M167" s="21">
        <v>7.4467046270853379</v>
      </c>
      <c r="N167" s="31">
        <f>H167/M167</f>
        <v>0</v>
      </c>
      <c r="S167" s="72">
        <v>7.4467046270853379</v>
      </c>
      <c r="T167" s="31">
        <f>G167/S167</f>
        <v>0</v>
      </c>
    </row>
    <row r="168" spans="1:20" s="12" customFormat="1" ht="47.25" customHeight="1">
      <c r="A168" s="142" t="s">
        <v>79</v>
      </c>
      <c r="B168" s="115" t="s">
        <v>217</v>
      </c>
      <c r="C168" s="24" t="s">
        <v>47</v>
      </c>
      <c r="D168" s="9" t="s">
        <v>157</v>
      </c>
      <c r="E168" s="23">
        <v>170.45454545454544</v>
      </c>
      <c r="F168" s="23" t="s">
        <v>14</v>
      </c>
      <c r="G168" s="23" t="s">
        <v>14</v>
      </c>
      <c r="H168" s="4">
        <f t="shared" si="25"/>
        <v>0</v>
      </c>
      <c r="I168" s="4">
        <f>SUM(I169:I173)</f>
        <v>0</v>
      </c>
      <c r="J168" s="4">
        <f>SUM(J169:J173)</f>
        <v>0</v>
      </c>
      <c r="K168" s="4">
        <f>SUM(K169:K173)</f>
        <v>0</v>
      </c>
      <c r="L168" s="4">
        <f>SUM(L169:L173)</f>
        <v>0</v>
      </c>
      <c r="M168" s="20"/>
      <c r="N168" s="30">
        <f>SUM(N169:N173)</f>
        <v>0</v>
      </c>
    </row>
    <row r="169" spans="1:20" s="12" customFormat="1">
      <c r="A169" s="143"/>
      <c r="B169" s="47" t="s">
        <v>2</v>
      </c>
      <c r="C169" s="9" t="s">
        <v>34</v>
      </c>
      <c r="D169" s="9" t="s">
        <v>34</v>
      </c>
      <c r="E169" s="9" t="s">
        <v>34</v>
      </c>
      <c r="F169" s="4">
        <v>0</v>
      </c>
      <c r="G169" s="4">
        <v>0</v>
      </c>
      <c r="H169" s="4">
        <f t="shared" si="25"/>
        <v>0</v>
      </c>
      <c r="I169" s="25">
        <v>0</v>
      </c>
      <c r="J169" s="4">
        <v>0</v>
      </c>
      <c r="K169" s="4">
        <v>0</v>
      </c>
      <c r="L169" s="25">
        <v>0</v>
      </c>
      <c r="M169" s="20">
        <v>6.0168239999999997</v>
      </c>
      <c r="N169" s="31">
        <f t="shared" si="24"/>
        <v>0</v>
      </c>
    </row>
    <row r="170" spans="1:20" s="12" customFormat="1">
      <c r="A170" s="143"/>
      <c r="B170" s="47" t="s">
        <v>0</v>
      </c>
      <c r="C170" s="9" t="s">
        <v>34</v>
      </c>
      <c r="D170" s="9" t="s">
        <v>34</v>
      </c>
      <c r="E170" s="9" t="s">
        <v>34</v>
      </c>
      <c r="F170" s="4">
        <v>0</v>
      </c>
      <c r="G170" s="4">
        <v>0</v>
      </c>
      <c r="H170" s="4">
        <f t="shared" si="25"/>
        <v>0</v>
      </c>
      <c r="I170" s="25">
        <v>0</v>
      </c>
      <c r="J170" s="4">
        <v>0</v>
      </c>
      <c r="K170" s="4">
        <v>0</v>
      </c>
      <c r="L170" s="25">
        <v>0</v>
      </c>
      <c r="M170" s="20">
        <v>6.3597829679999993</v>
      </c>
      <c r="N170" s="31">
        <f t="shared" si="24"/>
        <v>0</v>
      </c>
    </row>
    <row r="171" spans="1:20" s="12" customFormat="1">
      <c r="A171" s="143"/>
      <c r="B171" s="19" t="s">
        <v>28</v>
      </c>
      <c r="C171" s="9" t="s">
        <v>34</v>
      </c>
      <c r="D171" s="9" t="s">
        <v>34</v>
      </c>
      <c r="E171" s="9" t="s">
        <v>34</v>
      </c>
      <c r="F171" s="4">
        <v>0</v>
      </c>
      <c r="G171" s="4">
        <v>0</v>
      </c>
      <c r="H171" s="4">
        <f t="shared" si="25"/>
        <v>0</v>
      </c>
      <c r="I171" s="25">
        <v>0</v>
      </c>
      <c r="J171" s="4">
        <v>0</v>
      </c>
      <c r="K171" s="4">
        <v>0</v>
      </c>
      <c r="L171" s="25">
        <v>0</v>
      </c>
      <c r="M171" s="21">
        <v>6.7032112482719999</v>
      </c>
      <c r="N171" s="31">
        <f t="shared" si="24"/>
        <v>0</v>
      </c>
    </row>
    <row r="172" spans="1:20" s="12" customFormat="1">
      <c r="A172" s="143"/>
      <c r="B172" s="19" t="s">
        <v>29</v>
      </c>
      <c r="C172" s="9" t="s">
        <v>34</v>
      </c>
      <c r="D172" s="9" t="s">
        <v>34</v>
      </c>
      <c r="E172" s="9" t="s">
        <v>34</v>
      </c>
      <c r="F172" s="4">
        <v>0</v>
      </c>
      <c r="G172" s="4">
        <v>0</v>
      </c>
      <c r="H172" s="4">
        <f t="shared" si="25"/>
        <v>0</v>
      </c>
      <c r="I172" s="25">
        <v>0</v>
      </c>
      <c r="J172" s="4">
        <v>0</v>
      </c>
      <c r="K172" s="4">
        <v>0</v>
      </c>
      <c r="L172" s="25">
        <v>0</v>
      </c>
      <c r="M172" s="21">
        <v>7.0651846556786886</v>
      </c>
      <c r="N172" s="31">
        <f>H172/M172</f>
        <v>0</v>
      </c>
    </row>
    <row r="173" spans="1:20" s="12" customFormat="1">
      <c r="A173" s="144"/>
      <c r="B173" s="19" t="s">
        <v>30</v>
      </c>
      <c r="C173" s="9" t="s">
        <v>34</v>
      </c>
      <c r="D173" s="9" t="s">
        <v>34</v>
      </c>
      <c r="E173" s="9" t="s">
        <v>34</v>
      </c>
      <c r="F173" s="4">
        <v>0</v>
      </c>
      <c r="G173" s="4">
        <v>0</v>
      </c>
      <c r="H173" s="4">
        <f t="shared" si="25"/>
        <v>0</v>
      </c>
      <c r="I173" s="25">
        <v>0</v>
      </c>
      <c r="J173" s="4">
        <v>0</v>
      </c>
      <c r="K173" s="4">
        <v>0</v>
      </c>
      <c r="L173" s="25">
        <v>0</v>
      </c>
      <c r="M173" s="21">
        <v>7.4467046270853379</v>
      </c>
      <c r="N173" s="31">
        <f>H173/M173</f>
        <v>0</v>
      </c>
    </row>
    <row r="174" spans="1:20" s="12" customFormat="1" ht="26.25" customHeight="1">
      <c r="A174" s="142" t="s">
        <v>80</v>
      </c>
      <c r="B174" s="14" t="s">
        <v>48</v>
      </c>
      <c r="C174" s="24" t="s">
        <v>49</v>
      </c>
      <c r="D174" s="9" t="s">
        <v>107</v>
      </c>
      <c r="E174" s="4">
        <v>726.80336753445079</v>
      </c>
      <c r="F174" s="23" t="s">
        <v>14</v>
      </c>
      <c r="G174" s="23" t="s">
        <v>14</v>
      </c>
      <c r="H174" s="4">
        <f t="shared" si="25"/>
        <v>5000</v>
      </c>
      <c r="I174" s="4">
        <f>SUM(I175:I179)</f>
        <v>0</v>
      </c>
      <c r="J174" s="4">
        <f>SUM(J175:J179)</f>
        <v>0</v>
      </c>
      <c r="K174" s="4">
        <f>SUM(K175:K179)</f>
        <v>5000</v>
      </c>
      <c r="L174" s="4">
        <f>SUM(L175:L179)</f>
        <v>0</v>
      </c>
      <c r="M174" s="20"/>
      <c r="N174" s="30">
        <f>SUM(N175:N179)</f>
        <v>726.80336753445079</v>
      </c>
    </row>
    <row r="175" spans="1:20" s="12" customFormat="1">
      <c r="A175" s="143"/>
      <c r="B175" s="47" t="s">
        <v>2</v>
      </c>
      <c r="C175" s="9" t="s">
        <v>34</v>
      </c>
      <c r="D175" s="9" t="s">
        <v>34</v>
      </c>
      <c r="E175" s="9" t="s">
        <v>34</v>
      </c>
      <c r="F175" s="4">
        <f>G175/M175</f>
        <v>0</v>
      </c>
      <c r="G175" s="4">
        <v>0</v>
      </c>
      <c r="H175" s="4">
        <f t="shared" si="25"/>
        <v>0</v>
      </c>
      <c r="I175" s="4">
        <v>0</v>
      </c>
      <c r="J175" s="4">
        <v>0</v>
      </c>
      <c r="K175" s="4">
        <v>0</v>
      </c>
      <c r="L175" s="4">
        <v>0</v>
      </c>
      <c r="M175" s="20">
        <v>6.0168239999999997</v>
      </c>
      <c r="N175" s="31">
        <f t="shared" si="24"/>
        <v>0</v>
      </c>
    </row>
    <row r="176" spans="1:20" s="12" customFormat="1">
      <c r="A176" s="143"/>
      <c r="B176" s="47" t="s">
        <v>0</v>
      </c>
      <c r="C176" s="9" t="s">
        <v>34</v>
      </c>
      <c r="D176" s="9" t="s">
        <v>34</v>
      </c>
      <c r="E176" s="9" t="s">
        <v>34</v>
      </c>
      <c r="F176" s="4">
        <f>G176/M176</f>
        <v>0</v>
      </c>
      <c r="G176" s="4">
        <v>0</v>
      </c>
      <c r="H176" s="4">
        <f t="shared" si="25"/>
        <v>0</v>
      </c>
      <c r="I176" s="4">
        <v>0</v>
      </c>
      <c r="J176" s="4">
        <v>0</v>
      </c>
      <c r="K176" s="4">
        <v>0</v>
      </c>
      <c r="L176" s="4">
        <v>0</v>
      </c>
      <c r="M176" s="20">
        <v>6.3597829679999993</v>
      </c>
      <c r="N176" s="31">
        <f t="shared" si="24"/>
        <v>0</v>
      </c>
    </row>
    <row r="177" spans="1:14" s="12" customFormat="1">
      <c r="A177" s="143"/>
      <c r="B177" s="19" t="s">
        <v>28</v>
      </c>
      <c r="C177" s="9" t="s">
        <v>34</v>
      </c>
      <c r="D177" s="9" t="s">
        <v>34</v>
      </c>
      <c r="E177" s="9" t="s">
        <v>34</v>
      </c>
      <c r="F177" s="4">
        <f>G177/M177</f>
        <v>745.91114837518126</v>
      </c>
      <c r="G177" s="4">
        <f>H174</f>
        <v>5000</v>
      </c>
      <c r="H177" s="4">
        <f t="shared" si="25"/>
        <v>2500</v>
      </c>
      <c r="I177" s="4">
        <v>0</v>
      </c>
      <c r="J177" s="4">
        <v>0</v>
      </c>
      <c r="K177" s="4">
        <v>2500</v>
      </c>
      <c r="L177" s="4">
        <v>0</v>
      </c>
      <c r="M177" s="21">
        <v>6.7032112482719999</v>
      </c>
      <c r="N177" s="31">
        <f t="shared" si="24"/>
        <v>372.95557418759063</v>
      </c>
    </row>
    <row r="178" spans="1:14" s="12" customFormat="1">
      <c r="A178" s="143"/>
      <c r="B178" s="19" t="s">
        <v>29</v>
      </c>
      <c r="C178" s="9" t="s">
        <v>34</v>
      </c>
      <c r="D178" s="9" t="s">
        <v>34</v>
      </c>
      <c r="E178" s="9" t="s">
        <v>34</v>
      </c>
      <c r="F178" s="4">
        <f>G178/M178</f>
        <v>353.84779334686016</v>
      </c>
      <c r="G178" s="4">
        <f>G177-H177</f>
        <v>2500</v>
      </c>
      <c r="H178" s="4">
        <f t="shared" si="25"/>
        <v>2500</v>
      </c>
      <c r="I178" s="4">
        <v>0</v>
      </c>
      <c r="J178" s="4">
        <v>0</v>
      </c>
      <c r="K178" s="4">
        <v>2500</v>
      </c>
      <c r="L178" s="4">
        <v>0</v>
      </c>
      <c r="M178" s="21">
        <v>7.0651846556786886</v>
      </c>
      <c r="N178" s="31">
        <f>H178/M178</f>
        <v>353.84779334686016</v>
      </c>
    </row>
    <row r="179" spans="1:14" s="12" customFormat="1">
      <c r="A179" s="144"/>
      <c r="B179" s="19" t="s">
        <v>30</v>
      </c>
      <c r="C179" s="9" t="s">
        <v>34</v>
      </c>
      <c r="D179" s="9" t="s">
        <v>34</v>
      </c>
      <c r="E179" s="9" t="s">
        <v>34</v>
      </c>
      <c r="F179" s="4">
        <f>G179/M179</f>
        <v>0</v>
      </c>
      <c r="G179" s="4">
        <f>G178-H178</f>
        <v>0</v>
      </c>
      <c r="H179" s="4">
        <f t="shared" si="25"/>
        <v>0</v>
      </c>
      <c r="I179" s="4">
        <v>0</v>
      </c>
      <c r="J179" s="4">
        <v>0</v>
      </c>
      <c r="K179" s="4">
        <v>0</v>
      </c>
      <c r="L179" s="4">
        <v>0</v>
      </c>
      <c r="M179" s="21">
        <v>7.4467046270853379</v>
      </c>
      <c r="N179" s="31">
        <f>H179/M179</f>
        <v>0</v>
      </c>
    </row>
    <row r="180" spans="1:14" s="12" customFormat="1" ht="28.5" customHeight="1">
      <c r="A180" s="142" t="s">
        <v>81</v>
      </c>
      <c r="B180" s="14" t="s">
        <v>50</v>
      </c>
      <c r="C180" s="9" t="s">
        <v>51</v>
      </c>
      <c r="D180" s="9" t="s">
        <v>63</v>
      </c>
      <c r="E180" s="4">
        <v>2281.5963370162681</v>
      </c>
      <c r="F180" s="9" t="s">
        <v>34</v>
      </c>
      <c r="G180" s="9" t="s">
        <v>34</v>
      </c>
      <c r="H180" s="4">
        <f t="shared" si="25"/>
        <v>16500</v>
      </c>
      <c r="I180" s="4">
        <f>SUM(I181:I185)</f>
        <v>0</v>
      </c>
      <c r="J180" s="4">
        <f>SUM(J181:J185)</f>
        <v>0</v>
      </c>
      <c r="K180" s="4">
        <f>SUM(K181:K185)</f>
        <v>16500</v>
      </c>
      <c r="L180" s="4">
        <f>SUM(L181:L185)</f>
        <v>0</v>
      </c>
      <c r="M180" s="20"/>
      <c r="N180" s="30">
        <f>SUM(N181:N185)</f>
        <v>2281.5963370162681</v>
      </c>
    </row>
    <row r="181" spans="1:14" s="12" customFormat="1">
      <c r="A181" s="143"/>
      <c r="B181" s="47" t="s">
        <v>2</v>
      </c>
      <c r="C181" s="9" t="s">
        <v>34</v>
      </c>
      <c r="D181" s="9" t="s">
        <v>34</v>
      </c>
      <c r="E181" s="9" t="s">
        <v>34</v>
      </c>
      <c r="F181" s="4">
        <f>G181/M181</f>
        <v>0</v>
      </c>
      <c r="G181" s="4">
        <v>0</v>
      </c>
      <c r="H181" s="4">
        <f t="shared" si="25"/>
        <v>0</v>
      </c>
      <c r="I181" s="4">
        <v>0</v>
      </c>
      <c r="J181" s="4">
        <v>0</v>
      </c>
      <c r="K181" s="25">
        <v>0</v>
      </c>
      <c r="L181" s="4">
        <v>0</v>
      </c>
      <c r="M181" s="20">
        <v>6.0168239999999997</v>
      </c>
      <c r="N181" s="31">
        <f t="shared" si="24"/>
        <v>0</v>
      </c>
    </row>
    <row r="182" spans="1:14" s="12" customFormat="1">
      <c r="A182" s="143"/>
      <c r="B182" s="47" t="s">
        <v>0</v>
      </c>
      <c r="C182" s="9" t="s">
        <v>34</v>
      </c>
      <c r="D182" s="9" t="s">
        <v>34</v>
      </c>
      <c r="E182" s="9" t="s">
        <v>34</v>
      </c>
      <c r="F182" s="4">
        <f>G182/M182</f>
        <v>0</v>
      </c>
      <c r="G182" s="4">
        <v>0</v>
      </c>
      <c r="H182" s="4">
        <f t="shared" si="25"/>
        <v>0</v>
      </c>
      <c r="I182" s="4">
        <v>0</v>
      </c>
      <c r="J182" s="4">
        <v>0</v>
      </c>
      <c r="K182" s="25">
        <v>0</v>
      </c>
      <c r="L182" s="4">
        <v>0</v>
      </c>
      <c r="M182" s="20">
        <v>6.3597829679999993</v>
      </c>
      <c r="N182" s="31">
        <f t="shared" si="24"/>
        <v>0</v>
      </c>
    </row>
    <row r="183" spans="1:14" s="12" customFormat="1">
      <c r="A183" s="143"/>
      <c r="B183" s="19" t="s">
        <v>28</v>
      </c>
      <c r="C183" s="9" t="s">
        <v>34</v>
      </c>
      <c r="D183" s="9" t="s">
        <v>34</v>
      </c>
      <c r="E183" s="9" t="s">
        <v>34</v>
      </c>
      <c r="F183" s="4">
        <f>G183/M183</f>
        <v>2461.5067896380983</v>
      </c>
      <c r="G183" s="17">
        <f>H180</f>
        <v>16500</v>
      </c>
      <c r="H183" s="4">
        <f t="shared" si="25"/>
        <v>1500</v>
      </c>
      <c r="I183" s="4">
        <v>0</v>
      </c>
      <c r="J183" s="4">
        <v>0</v>
      </c>
      <c r="K183" s="25">
        <v>1500</v>
      </c>
      <c r="L183" s="4">
        <v>0</v>
      </c>
      <c r="M183" s="21">
        <v>6.7032112482719999</v>
      </c>
      <c r="N183" s="31">
        <f t="shared" si="24"/>
        <v>223.77334451255439</v>
      </c>
    </row>
    <row r="184" spans="1:14" s="12" customFormat="1">
      <c r="A184" s="143"/>
      <c r="B184" s="19" t="s">
        <v>29</v>
      </c>
      <c r="C184" s="9" t="s">
        <v>34</v>
      </c>
      <c r="D184" s="9" t="s">
        <v>34</v>
      </c>
      <c r="E184" s="9" t="s">
        <v>34</v>
      </c>
      <c r="F184" s="4">
        <f>G184/M184</f>
        <v>2123.0867600811612</v>
      </c>
      <c r="G184" s="17">
        <f>G183-H183</f>
        <v>15000</v>
      </c>
      <c r="H184" s="4">
        <f t="shared" si="25"/>
        <v>6000</v>
      </c>
      <c r="I184" s="4">
        <v>0</v>
      </c>
      <c r="J184" s="4">
        <v>0</v>
      </c>
      <c r="K184" s="25">
        <v>6000</v>
      </c>
      <c r="L184" s="4">
        <v>0</v>
      </c>
      <c r="M184" s="21">
        <v>7.0651846556786886</v>
      </c>
      <c r="N184" s="31">
        <f>H184/M184</f>
        <v>849.23470403246438</v>
      </c>
    </row>
    <row r="185" spans="1:14" s="12" customFormat="1">
      <c r="A185" s="144"/>
      <c r="B185" s="19" t="s">
        <v>30</v>
      </c>
      <c r="C185" s="9" t="s">
        <v>34</v>
      </c>
      <c r="D185" s="9" t="s">
        <v>34</v>
      </c>
      <c r="E185" s="9" t="s">
        <v>34</v>
      </c>
      <c r="F185" s="4">
        <f>G185/M185</f>
        <v>1208.5882884712491</v>
      </c>
      <c r="G185" s="17">
        <f>G184-H184</f>
        <v>9000</v>
      </c>
      <c r="H185" s="4">
        <f t="shared" si="25"/>
        <v>9000</v>
      </c>
      <c r="I185" s="4">
        <v>0</v>
      </c>
      <c r="J185" s="4">
        <v>0</v>
      </c>
      <c r="K185" s="25">
        <v>9000</v>
      </c>
      <c r="L185" s="4">
        <v>0</v>
      </c>
      <c r="M185" s="21">
        <v>7.4467046270853379</v>
      </c>
      <c r="N185" s="31">
        <f>H185/M185</f>
        <v>1208.5882884712491</v>
      </c>
    </row>
    <row r="186" spans="1:14" s="12" customFormat="1" ht="29.25" customHeight="1">
      <c r="A186" s="142" t="s">
        <v>82</v>
      </c>
      <c r="B186" s="14" t="s">
        <v>52</v>
      </c>
      <c r="C186" s="9" t="s">
        <v>53</v>
      </c>
      <c r="D186" s="9" t="s">
        <v>63</v>
      </c>
      <c r="E186" s="4">
        <v>1528.3157544083394</v>
      </c>
      <c r="F186" s="9" t="s">
        <v>34</v>
      </c>
      <c r="G186" s="9" t="s">
        <v>34</v>
      </c>
      <c r="H186" s="4">
        <f t="shared" si="25"/>
        <v>11000</v>
      </c>
      <c r="I186" s="4">
        <f>SUM(I187:I191)</f>
        <v>0</v>
      </c>
      <c r="J186" s="4">
        <f>SUM(J187:J191)</f>
        <v>0</v>
      </c>
      <c r="K186" s="4">
        <f>SUM(K187:K191)</f>
        <v>11000</v>
      </c>
      <c r="L186" s="4">
        <f>SUM(L187:L191)</f>
        <v>0</v>
      </c>
      <c r="M186" s="20"/>
      <c r="N186" s="30">
        <f>SUM(N187:N191)</f>
        <v>1528.3157544083394</v>
      </c>
    </row>
    <row r="187" spans="1:14" s="12" customFormat="1">
      <c r="A187" s="143"/>
      <c r="B187" s="47" t="s">
        <v>2</v>
      </c>
      <c r="C187" s="9" t="s">
        <v>34</v>
      </c>
      <c r="D187" s="9" t="s">
        <v>34</v>
      </c>
      <c r="E187" s="9" t="s">
        <v>34</v>
      </c>
      <c r="F187" s="4">
        <f>G187/M187</f>
        <v>0</v>
      </c>
      <c r="G187" s="4">
        <v>0</v>
      </c>
      <c r="H187" s="4">
        <f t="shared" si="25"/>
        <v>0</v>
      </c>
      <c r="I187" s="25">
        <v>0</v>
      </c>
      <c r="J187" s="4">
        <v>0</v>
      </c>
      <c r="K187" s="25">
        <v>0</v>
      </c>
      <c r="L187" s="4">
        <v>0</v>
      </c>
      <c r="M187" s="20">
        <v>6.0168239999999997</v>
      </c>
      <c r="N187" s="31">
        <f t="shared" si="24"/>
        <v>0</v>
      </c>
    </row>
    <row r="188" spans="1:14" s="12" customFormat="1">
      <c r="A188" s="143"/>
      <c r="B188" s="47" t="s">
        <v>0</v>
      </c>
      <c r="C188" s="9" t="s">
        <v>34</v>
      </c>
      <c r="D188" s="9" t="s">
        <v>34</v>
      </c>
      <c r="E188" s="9" t="s">
        <v>34</v>
      </c>
      <c r="F188" s="4">
        <f>G188/M188</f>
        <v>0</v>
      </c>
      <c r="G188" s="4">
        <v>0</v>
      </c>
      <c r="H188" s="4">
        <f t="shared" si="25"/>
        <v>0</v>
      </c>
      <c r="I188" s="25">
        <v>0</v>
      </c>
      <c r="J188" s="4">
        <v>0</v>
      </c>
      <c r="K188" s="25">
        <v>0</v>
      </c>
      <c r="L188" s="4">
        <v>0</v>
      </c>
      <c r="M188" s="20">
        <v>6.3597829679999993</v>
      </c>
      <c r="N188" s="31">
        <f t="shared" si="24"/>
        <v>0</v>
      </c>
    </row>
    <row r="189" spans="1:14" s="12" customFormat="1">
      <c r="A189" s="143"/>
      <c r="B189" s="19" t="s">
        <v>28</v>
      </c>
      <c r="C189" s="9" t="s">
        <v>34</v>
      </c>
      <c r="D189" s="9" t="s">
        <v>34</v>
      </c>
      <c r="E189" s="9" t="s">
        <v>34</v>
      </c>
      <c r="F189" s="4">
        <f>G189/M189</f>
        <v>1641.0045264253988</v>
      </c>
      <c r="G189" s="17">
        <f>H186</f>
        <v>11000</v>
      </c>
      <c r="H189" s="4">
        <f t="shared" si="25"/>
        <v>1000</v>
      </c>
      <c r="I189" s="25">
        <v>0</v>
      </c>
      <c r="J189" s="25">
        <v>0</v>
      </c>
      <c r="K189" s="25">
        <v>1000</v>
      </c>
      <c r="L189" s="25">
        <v>0</v>
      </c>
      <c r="M189" s="21">
        <v>6.7032112482719999</v>
      </c>
      <c r="N189" s="31">
        <f t="shared" si="24"/>
        <v>149.18222967503627</v>
      </c>
    </row>
    <row r="190" spans="1:14" s="12" customFormat="1">
      <c r="A190" s="143"/>
      <c r="B190" s="19" t="s">
        <v>29</v>
      </c>
      <c r="C190" s="9" t="s">
        <v>34</v>
      </c>
      <c r="D190" s="9" t="s">
        <v>34</v>
      </c>
      <c r="E190" s="9" t="s">
        <v>34</v>
      </c>
      <c r="F190" s="4">
        <f>G190/M190</f>
        <v>1415.3911733874406</v>
      </c>
      <c r="G190" s="17">
        <f>G189-H189</f>
        <v>10000</v>
      </c>
      <c r="H190" s="4">
        <f t="shared" si="25"/>
        <v>5000</v>
      </c>
      <c r="I190" s="25">
        <v>0</v>
      </c>
      <c r="J190" s="25">
        <v>0</v>
      </c>
      <c r="K190" s="25">
        <v>5000</v>
      </c>
      <c r="L190" s="25">
        <v>0</v>
      </c>
      <c r="M190" s="21">
        <v>7.0651846556786886</v>
      </c>
      <c r="N190" s="31">
        <f>H190/M190</f>
        <v>707.69558669372032</v>
      </c>
    </row>
    <row r="191" spans="1:14" s="12" customFormat="1">
      <c r="A191" s="144"/>
      <c r="B191" s="19" t="s">
        <v>30</v>
      </c>
      <c r="C191" s="9" t="s">
        <v>34</v>
      </c>
      <c r="D191" s="9" t="s">
        <v>34</v>
      </c>
      <c r="E191" s="9" t="s">
        <v>34</v>
      </c>
      <c r="F191" s="4">
        <f>G191/M191</f>
        <v>671.43793803958283</v>
      </c>
      <c r="G191" s="17">
        <f>G190-H190</f>
        <v>5000</v>
      </c>
      <c r="H191" s="4">
        <f t="shared" si="25"/>
        <v>5000</v>
      </c>
      <c r="I191" s="25">
        <v>0</v>
      </c>
      <c r="J191" s="25">
        <v>0</v>
      </c>
      <c r="K191" s="25">
        <v>5000</v>
      </c>
      <c r="L191" s="25">
        <v>0</v>
      </c>
      <c r="M191" s="21">
        <v>7.4467046270853379</v>
      </c>
      <c r="N191" s="31">
        <f>H191/M191</f>
        <v>671.43793803958283</v>
      </c>
    </row>
    <row r="192" spans="1:14" s="12" customFormat="1" ht="29.25" customHeight="1">
      <c r="A192" s="142" t="s">
        <v>83</v>
      </c>
      <c r="B192" s="14" t="s">
        <v>54</v>
      </c>
      <c r="C192" s="9" t="s">
        <v>55</v>
      </c>
      <c r="D192" s="9" t="s">
        <v>157</v>
      </c>
      <c r="E192" s="4">
        <v>22727.27</v>
      </c>
      <c r="F192" s="23" t="s">
        <v>14</v>
      </c>
      <c r="G192" s="23" t="s">
        <v>14</v>
      </c>
      <c r="H192" s="4">
        <f t="shared" si="25"/>
        <v>0</v>
      </c>
      <c r="I192" s="4">
        <f>SUM(I193:I197)</f>
        <v>0</v>
      </c>
      <c r="J192" s="4">
        <f>SUM(J193:J197)</f>
        <v>0</v>
      </c>
      <c r="K192" s="4">
        <f>SUM(K193:K197)</f>
        <v>0</v>
      </c>
      <c r="L192" s="4">
        <f>SUM(L193:L197)</f>
        <v>0</v>
      </c>
      <c r="M192" s="20"/>
      <c r="N192" s="30">
        <f>SUM(N193:N197)</f>
        <v>0</v>
      </c>
    </row>
    <row r="193" spans="1:14" s="12" customFormat="1">
      <c r="A193" s="143"/>
      <c r="B193" s="47" t="s">
        <v>2</v>
      </c>
      <c r="C193" s="9" t="s">
        <v>34</v>
      </c>
      <c r="D193" s="9" t="s">
        <v>34</v>
      </c>
      <c r="E193" s="9" t="s">
        <v>34</v>
      </c>
      <c r="F193" s="48">
        <v>0</v>
      </c>
      <c r="G193" s="48">
        <v>0</v>
      </c>
      <c r="H193" s="4">
        <f t="shared" si="25"/>
        <v>0</v>
      </c>
      <c r="I193" s="25">
        <v>0</v>
      </c>
      <c r="J193" s="4">
        <v>0</v>
      </c>
      <c r="K193" s="25">
        <v>0</v>
      </c>
      <c r="L193" s="4">
        <v>0</v>
      </c>
      <c r="M193" s="20">
        <v>6.0168239999999997</v>
      </c>
      <c r="N193" s="31">
        <f t="shared" si="24"/>
        <v>0</v>
      </c>
    </row>
    <row r="194" spans="1:14" s="12" customFormat="1">
      <c r="A194" s="143"/>
      <c r="B194" s="47" t="s">
        <v>0</v>
      </c>
      <c r="C194" s="9" t="s">
        <v>34</v>
      </c>
      <c r="D194" s="9" t="s">
        <v>34</v>
      </c>
      <c r="E194" s="9" t="s">
        <v>34</v>
      </c>
      <c r="F194" s="48">
        <v>0</v>
      </c>
      <c r="G194" s="48">
        <v>0</v>
      </c>
      <c r="H194" s="4">
        <f t="shared" si="25"/>
        <v>0</v>
      </c>
      <c r="I194" s="25">
        <v>0</v>
      </c>
      <c r="J194" s="4">
        <v>0</v>
      </c>
      <c r="K194" s="25">
        <v>0</v>
      </c>
      <c r="L194" s="4">
        <v>0</v>
      </c>
      <c r="M194" s="20">
        <v>6.3597829679999993</v>
      </c>
      <c r="N194" s="31">
        <f t="shared" si="24"/>
        <v>0</v>
      </c>
    </row>
    <row r="195" spans="1:14" s="12" customFormat="1">
      <c r="A195" s="143"/>
      <c r="B195" s="19" t="s">
        <v>28</v>
      </c>
      <c r="C195" s="9" t="s">
        <v>34</v>
      </c>
      <c r="D195" s="9" t="s">
        <v>34</v>
      </c>
      <c r="E195" s="9" t="s">
        <v>34</v>
      </c>
      <c r="F195" s="48">
        <v>0</v>
      </c>
      <c r="G195" s="48">
        <v>0</v>
      </c>
      <c r="H195" s="4">
        <f t="shared" si="25"/>
        <v>0</v>
      </c>
      <c r="I195" s="4">
        <v>0</v>
      </c>
      <c r="J195" s="4">
        <v>0</v>
      </c>
      <c r="K195" s="4">
        <v>0</v>
      </c>
      <c r="L195" s="4">
        <v>0</v>
      </c>
      <c r="M195" s="21">
        <v>6.7032112482719999</v>
      </c>
      <c r="N195" s="31">
        <f t="shared" si="24"/>
        <v>0</v>
      </c>
    </row>
    <row r="196" spans="1:14" s="12" customFormat="1">
      <c r="A196" s="143"/>
      <c r="B196" s="19" t="s">
        <v>29</v>
      </c>
      <c r="C196" s="9" t="s">
        <v>34</v>
      </c>
      <c r="D196" s="9" t="s">
        <v>34</v>
      </c>
      <c r="E196" s="9" t="s">
        <v>34</v>
      </c>
      <c r="F196" s="48">
        <f>(H193-H194-H195)</f>
        <v>0</v>
      </c>
      <c r="G196" s="4">
        <f>H193-H194-H195</f>
        <v>0</v>
      </c>
      <c r="H196" s="4">
        <f t="shared" si="25"/>
        <v>0</v>
      </c>
      <c r="I196" s="4">
        <v>0</v>
      </c>
      <c r="J196" s="4">
        <v>0</v>
      </c>
      <c r="K196" s="4">
        <v>0</v>
      </c>
      <c r="L196" s="4">
        <v>0</v>
      </c>
      <c r="M196" s="21">
        <v>7.0651846556786886</v>
      </c>
      <c r="N196" s="31">
        <f>H196/M196</f>
        <v>0</v>
      </c>
    </row>
    <row r="197" spans="1:14" s="12" customFormat="1">
      <c r="A197" s="144"/>
      <c r="B197" s="19" t="s">
        <v>30</v>
      </c>
      <c r="C197" s="9" t="s">
        <v>34</v>
      </c>
      <c r="D197" s="9" t="s">
        <v>34</v>
      </c>
      <c r="E197" s="9" t="s">
        <v>34</v>
      </c>
      <c r="F197" s="48">
        <f>(H194-H195-H196)</f>
        <v>0</v>
      </c>
      <c r="G197" s="4">
        <f>H194-H195-H196</f>
        <v>0</v>
      </c>
      <c r="H197" s="4">
        <f t="shared" si="25"/>
        <v>0</v>
      </c>
      <c r="I197" s="4">
        <v>0</v>
      </c>
      <c r="J197" s="4">
        <v>0</v>
      </c>
      <c r="K197" s="4">
        <v>0</v>
      </c>
      <c r="L197" s="4">
        <v>0</v>
      </c>
      <c r="M197" s="21">
        <v>7.4467046270853379</v>
      </c>
      <c r="N197" s="31">
        <f>H197/M197</f>
        <v>0</v>
      </c>
    </row>
    <row r="198" spans="1:14" s="12" customFormat="1" ht="51">
      <c r="A198" s="142" t="s">
        <v>84</v>
      </c>
      <c r="B198" s="14" t="s">
        <v>56</v>
      </c>
      <c r="C198" s="9" t="s">
        <v>57</v>
      </c>
      <c r="D198" s="9" t="s">
        <v>63</v>
      </c>
      <c r="E198" s="4">
        <v>3056.6315088166789</v>
      </c>
      <c r="F198" s="9" t="s">
        <v>34</v>
      </c>
      <c r="G198" s="9" t="s">
        <v>34</v>
      </c>
      <c r="H198" s="4">
        <f t="shared" si="25"/>
        <v>22000</v>
      </c>
      <c r="I198" s="4">
        <f>SUM(I199:I203)</f>
        <v>0</v>
      </c>
      <c r="J198" s="4">
        <f>SUM(J199:J203)</f>
        <v>0</v>
      </c>
      <c r="K198" s="4">
        <f>SUM(K199:K203)</f>
        <v>22000</v>
      </c>
      <c r="L198" s="4">
        <f>SUM(L199:L203)</f>
        <v>0</v>
      </c>
      <c r="M198" s="20"/>
      <c r="N198" s="30">
        <f>SUM(N199:N203)</f>
        <v>3056.6315088166789</v>
      </c>
    </row>
    <row r="199" spans="1:14" s="12" customFormat="1">
      <c r="A199" s="143"/>
      <c r="B199" s="47" t="s">
        <v>2</v>
      </c>
      <c r="C199" s="9" t="s">
        <v>34</v>
      </c>
      <c r="D199" s="9" t="s">
        <v>34</v>
      </c>
      <c r="E199" s="9" t="s">
        <v>34</v>
      </c>
      <c r="F199" s="4">
        <f>G199/M199</f>
        <v>0</v>
      </c>
      <c r="G199" s="4">
        <v>0</v>
      </c>
      <c r="H199" s="4">
        <f t="shared" si="25"/>
        <v>0</v>
      </c>
      <c r="I199" s="25">
        <v>0</v>
      </c>
      <c r="J199" s="4">
        <v>0</v>
      </c>
      <c r="K199" s="25">
        <v>0</v>
      </c>
      <c r="L199" s="4">
        <v>0</v>
      </c>
      <c r="M199" s="20">
        <v>6.0168239999999997</v>
      </c>
      <c r="N199" s="31">
        <f t="shared" si="24"/>
        <v>0</v>
      </c>
    </row>
    <row r="200" spans="1:14" s="12" customFormat="1">
      <c r="A200" s="143"/>
      <c r="B200" s="47" t="s">
        <v>0</v>
      </c>
      <c r="C200" s="9" t="s">
        <v>34</v>
      </c>
      <c r="D200" s="9" t="s">
        <v>34</v>
      </c>
      <c r="E200" s="9" t="s">
        <v>34</v>
      </c>
      <c r="F200" s="4">
        <f>G200/M200</f>
        <v>0</v>
      </c>
      <c r="G200" s="4">
        <v>0</v>
      </c>
      <c r="H200" s="4">
        <f t="shared" si="25"/>
        <v>0</v>
      </c>
      <c r="I200" s="25">
        <v>0</v>
      </c>
      <c r="J200" s="4">
        <v>0</v>
      </c>
      <c r="K200" s="25">
        <v>0</v>
      </c>
      <c r="L200" s="4">
        <v>0</v>
      </c>
      <c r="M200" s="20">
        <v>6.3597829679999993</v>
      </c>
      <c r="N200" s="31">
        <f t="shared" si="24"/>
        <v>0</v>
      </c>
    </row>
    <row r="201" spans="1:14" s="12" customFormat="1">
      <c r="A201" s="143"/>
      <c r="B201" s="19" t="s">
        <v>28</v>
      </c>
      <c r="C201" s="9" t="s">
        <v>34</v>
      </c>
      <c r="D201" s="9" t="s">
        <v>34</v>
      </c>
      <c r="E201" s="9" t="s">
        <v>34</v>
      </c>
      <c r="F201" s="4">
        <f>G201/M201</f>
        <v>3282.0090528507976</v>
      </c>
      <c r="G201" s="17">
        <f>H198</f>
        <v>22000</v>
      </c>
      <c r="H201" s="4">
        <f t="shared" si="25"/>
        <v>2000</v>
      </c>
      <c r="I201" s="25">
        <v>0</v>
      </c>
      <c r="J201" s="25">
        <v>0</v>
      </c>
      <c r="K201" s="25">
        <v>2000</v>
      </c>
      <c r="L201" s="25">
        <v>0</v>
      </c>
      <c r="M201" s="21">
        <v>6.7032112482719999</v>
      </c>
      <c r="N201" s="31">
        <f t="shared" si="24"/>
        <v>298.36445935007254</v>
      </c>
    </row>
    <row r="202" spans="1:14" s="12" customFormat="1">
      <c r="A202" s="143"/>
      <c r="B202" s="19" t="s">
        <v>29</v>
      </c>
      <c r="C202" s="9" t="s">
        <v>34</v>
      </c>
      <c r="D202" s="9" t="s">
        <v>34</v>
      </c>
      <c r="E202" s="9" t="s">
        <v>34</v>
      </c>
      <c r="F202" s="4">
        <f>G202/M202</f>
        <v>2830.7823467748813</v>
      </c>
      <c r="G202" s="17">
        <f>G201-H201</f>
        <v>20000</v>
      </c>
      <c r="H202" s="4">
        <f t="shared" si="25"/>
        <v>10000</v>
      </c>
      <c r="I202" s="25">
        <v>0</v>
      </c>
      <c r="J202" s="25">
        <v>0</v>
      </c>
      <c r="K202" s="25">
        <v>10000</v>
      </c>
      <c r="L202" s="25">
        <v>0</v>
      </c>
      <c r="M202" s="21">
        <v>7.0651846556786886</v>
      </c>
      <c r="N202" s="31">
        <f>H202/M202</f>
        <v>1415.3911733874406</v>
      </c>
    </row>
    <row r="203" spans="1:14" s="12" customFormat="1">
      <c r="A203" s="144"/>
      <c r="B203" s="19" t="s">
        <v>30</v>
      </c>
      <c r="C203" s="9" t="s">
        <v>34</v>
      </c>
      <c r="D203" s="9" t="s">
        <v>34</v>
      </c>
      <c r="E203" s="9" t="s">
        <v>34</v>
      </c>
      <c r="F203" s="4">
        <f>G203/M203</f>
        <v>1342.8758760791657</v>
      </c>
      <c r="G203" s="17">
        <f>G202-H202</f>
        <v>10000</v>
      </c>
      <c r="H203" s="4">
        <f t="shared" si="25"/>
        <v>10000</v>
      </c>
      <c r="I203" s="25">
        <v>0</v>
      </c>
      <c r="J203" s="25">
        <v>0</v>
      </c>
      <c r="K203" s="25">
        <v>10000</v>
      </c>
      <c r="L203" s="25">
        <v>0</v>
      </c>
      <c r="M203" s="21">
        <v>7.4467046270853379</v>
      </c>
      <c r="N203" s="31">
        <f>H203/M203</f>
        <v>1342.8758760791657</v>
      </c>
    </row>
    <row r="204" spans="1:14" s="12" customFormat="1" ht="40.5" customHeight="1">
      <c r="A204" s="142" t="s">
        <v>85</v>
      </c>
      <c r="B204" s="14" t="s">
        <v>58</v>
      </c>
      <c r="C204" s="9" t="s">
        <v>59</v>
      </c>
      <c r="D204" s="9" t="s">
        <v>63</v>
      </c>
      <c r="E204" s="4">
        <v>764.15787720416972</v>
      </c>
      <c r="F204" s="9" t="s">
        <v>34</v>
      </c>
      <c r="G204" s="9" t="s">
        <v>34</v>
      </c>
      <c r="H204" s="4">
        <f>I204+J204+K204+L204</f>
        <v>5500</v>
      </c>
      <c r="I204" s="4">
        <f>SUM(I205:I209)</f>
        <v>0</v>
      </c>
      <c r="J204" s="4">
        <f>SUM(J205:J209)</f>
        <v>0</v>
      </c>
      <c r="K204" s="4">
        <f>SUM(K205:K209)</f>
        <v>5500</v>
      </c>
      <c r="L204" s="4">
        <f>SUM(L205:L209)</f>
        <v>0</v>
      </c>
      <c r="M204" s="20"/>
      <c r="N204" s="30">
        <f>SUM(N205:N209)</f>
        <v>764.15787720416972</v>
      </c>
    </row>
    <row r="205" spans="1:14" s="12" customFormat="1">
      <c r="A205" s="143"/>
      <c r="B205" s="47" t="s">
        <v>2</v>
      </c>
      <c r="C205" s="9" t="s">
        <v>34</v>
      </c>
      <c r="D205" s="9" t="s">
        <v>34</v>
      </c>
      <c r="E205" s="9" t="s">
        <v>34</v>
      </c>
      <c r="F205" s="4">
        <f>G205/M205</f>
        <v>0</v>
      </c>
      <c r="G205" s="4">
        <v>0</v>
      </c>
      <c r="H205" s="4">
        <f t="shared" si="25"/>
        <v>0</v>
      </c>
      <c r="I205" s="25">
        <v>0</v>
      </c>
      <c r="J205" s="4">
        <v>0</v>
      </c>
      <c r="K205" s="25">
        <v>0</v>
      </c>
      <c r="L205" s="4">
        <v>0</v>
      </c>
      <c r="M205" s="20">
        <v>6.0168239999999997</v>
      </c>
      <c r="N205" s="31">
        <f t="shared" si="24"/>
        <v>0</v>
      </c>
    </row>
    <row r="206" spans="1:14" s="12" customFormat="1">
      <c r="A206" s="143"/>
      <c r="B206" s="47" t="s">
        <v>0</v>
      </c>
      <c r="C206" s="9" t="s">
        <v>34</v>
      </c>
      <c r="D206" s="9" t="s">
        <v>34</v>
      </c>
      <c r="E206" s="9" t="s">
        <v>34</v>
      </c>
      <c r="F206" s="4">
        <f>G206/M206</f>
        <v>0</v>
      </c>
      <c r="G206" s="4">
        <v>0</v>
      </c>
      <c r="H206" s="4">
        <f t="shared" si="25"/>
        <v>0</v>
      </c>
      <c r="I206" s="25">
        <v>0</v>
      </c>
      <c r="J206" s="4">
        <v>0</v>
      </c>
      <c r="K206" s="25">
        <v>0</v>
      </c>
      <c r="L206" s="4">
        <v>0</v>
      </c>
      <c r="M206" s="20">
        <v>6.3597829679999993</v>
      </c>
      <c r="N206" s="31">
        <f t="shared" si="24"/>
        <v>0</v>
      </c>
    </row>
    <row r="207" spans="1:14" s="12" customFormat="1">
      <c r="A207" s="143"/>
      <c r="B207" s="19" t="s">
        <v>28</v>
      </c>
      <c r="C207" s="9" t="s">
        <v>34</v>
      </c>
      <c r="D207" s="9" t="s">
        <v>34</v>
      </c>
      <c r="E207" s="9" t="s">
        <v>34</v>
      </c>
      <c r="F207" s="4">
        <f>G207/M207</f>
        <v>820.5022632126994</v>
      </c>
      <c r="G207" s="17">
        <f>H204</f>
        <v>5500</v>
      </c>
      <c r="H207" s="4">
        <f t="shared" si="25"/>
        <v>500</v>
      </c>
      <c r="I207" s="4">
        <v>0</v>
      </c>
      <c r="J207" s="4">
        <v>0</v>
      </c>
      <c r="K207" s="25">
        <v>500</v>
      </c>
      <c r="L207" s="4">
        <v>0</v>
      </c>
      <c r="M207" s="21">
        <v>6.7032112482719999</v>
      </c>
      <c r="N207" s="31">
        <f t="shared" si="24"/>
        <v>74.591114837518134</v>
      </c>
    </row>
    <row r="208" spans="1:14" s="12" customFormat="1">
      <c r="A208" s="143"/>
      <c r="B208" s="19" t="s">
        <v>29</v>
      </c>
      <c r="C208" s="9" t="s">
        <v>34</v>
      </c>
      <c r="D208" s="9" t="s">
        <v>34</v>
      </c>
      <c r="E208" s="9" t="s">
        <v>34</v>
      </c>
      <c r="F208" s="4">
        <f>G208/M208</f>
        <v>707.69558669372032</v>
      </c>
      <c r="G208" s="17">
        <f>G207-H207</f>
        <v>5000</v>
      </c>
      <c r="H208" s="4">
        <f t="shared" si="25"/>
        <v>2500</v>
      </c>
      <c r="I208" s="4">
        <v>0</v>
      </c>
      <c r="J208" s="4">
        <v>0</v>
      </c>
      <c r="K208" s="25">
        <v>2500</v>
      </c>
      <c r="L208" s="4">
        <v>0</v>
      </c>
      <c r="M208" s="21">
        <v>7.0651846556786886</v>
      </c>
      <c r="N208" s="31">
        <f>H208/M208</f>
        <v>353.84779334686016</v>
      </c>
    </row>
    <row r="209" spans="1:23" s="12" customFormat="1">
      <c r="A209" s="144"/>
      <c r="B209" s="19" t="s">
        <v>30</v>
      </c>
      <c r="C209" s="9" t="s">
        <v>34</v>
      </c>
      <c r="D209" s="9" t="s">
        <v>34</v>
      </c>
      <c r="E209" s="9" t="s">
        <v>34</v>
      </c>
      <c r="F209" s="4">
        <f>G209/M209</f>
        <v>335.71896901979142</v>
      </c>
      <c r="G209" s="17">
        <f>G208-H208</f>
        <v>2500</v>
      </c>
      <c r="H209" s="4">
        <f t="shared" si="25"/>
        <v>2500</v>
      </c>
      <c r="I209" s="4">
        <v>0</v>
      </c>
      <c r="J209" s="4">
        <v>0</v>
      </c>
      <c r="K209" s="25">
        <v>2500</v>
      </c>
      <c r="L209" s="4">
        <v>0</v>
      </c>
      <c r="M209" s="21">
        <v>7.4467046270853379</v>
      </c>
      <c r="N209" s="31">
        <f>H209/M209</f>
        <v>335.71896901979142</v>
      </c>
    </row>
    <row r="210" spans="1:23" s="12" customFormat="1" ht="31.5" customHeight="1">
      <c r="A210" s="142" t="s">
        <v>192</v>
      </c>
      <c r="B210" s="14" t="s">
        <v>245</v>
      </c>
      <c r="C210" s="113" t="s">
        <v>248</v>
      </c>
      <c r="D210" s="113" t="s">
        <v>246</v>
      </c>
      <c r="E210" s="4">
        <f>8992.19+6192.58+2155.385/M217</f>
        <v>15737.43282051282</v>
      </c>
      <c r="F210" s="113" t="s">
        <v>34</v>
      </c>
      <c r="G210" s="113" t="s">
        <v>34</v>
      </c>
      <c r="H210" s="4">
        <f>I210+J210+K210+L210</f>
        <v>59167.318529999997</v>
      </c>
      <c r="I210" s="4">
        <f>SUM(I211:I217)</f>
        <v>0</v>
      </c>
      <c r="J210" s="4">
        <f t="shared" ref="J210:L210" si="26">SUM(J211:J217)</f>
        <v>0</v>
      </c>
      <c r="K210" s="4">
        <f>SUM(K211:K217)</f>
        <v>59167.318529999997</v>
      </c>
      <c r="L210" s="4">
        <f t="shared" si="26"/>
        <v>0</v>
      </c>
      <c r="M210" s="21"/>
      <c r="N210" s="31"/>
    </row>
    <row r="211" spans="1:23" s="12" customFormat="1">
      <c r="A211" s="143"/>
      <c r="B211" s="47" t="s">
        <v>2</v>
      </c>
      <c r="C211" s="113" t="s">
        <v>34</v>
      </c>
      <c r="D211" s="113" t="s">
        <v>34</v>
      </c>
      <c r="E211" s="113" t="s">
        <v>34</v>
      </c>
      <c r="F211" s="17">
        <v>0</v>
      </c>
      <c r="G211" s="17">
        <v>0</v>
      </c>
      <c r="H211" s="4">
        <f t="shared" si="25"/>
        <v>0</v>
      </c>
      <c r="I211" s="4">
        <v>0</v>
      </c>
      <c r="J211" s="4">
        <v>0</v>
      </c>
      <c r="K211" s="4">
        <v>0</v>
      </c>
      <c r="L211" s="4">
        <v>0</v>
      </c>
      <c r="M211" s="97">
        <v>6.0168239999999997</v>
      </c>
      <c r="N211" s="31"/>
      <c r="V211" s="68">
        <v>5.4316964175493174</v>
      </c>
      <c r="W211" s="31">
        <f>H210/V211</f>
        <v>10892.972283729954</v>
      </c>
    </row>
    <row r="212" spans="1:23" s="12" customFormat="1">
      <c r="A212" s="143"/>
      <c r="B212" s="47" t="s">
        <v>0</v>
      </c>
      <c r="C212" s="113" t="s">
        <v>34</v>
      </c>
      <c r="D212" s="113" t="s">
        <v>34</v>
      </c>
      <c r="E212" s="113" t="s">
        <v>34</v>
      </c>
      <c r="F212" s="4">
        <f>8992.19+6192.58</f>
        <v>15184.77</v>
      </c>
      <c r="G212" s="17">
        <f>37174.74+24219.41</f>
        <v>61394.149999999994</v>
      </c>
      <c r="H212" s="4">
        <f t="shared" si="25"/>
        <v>2347.5781900000002</v>
      </c>
      <c r="I212" s="4">
        <v>0</v>
      </c>
      <c r="J212" s="4">
        <v>0</v>
      </c>
      <c r="K212" s="4">
        <f>1147.57819+1200</f>
        <v>2347.5781900000002</v>
      </c>
      <c r="L212" s="4">
        <v>0</v>
      </c>
      <c r="M212" s="97">
        <v>6.3597829679999993</v>
      </c>
      <c r="N212" s="31">
        <f>G212/F212</f>
        <v>4.0431399356065318</v>
      </c>
      <c r="V212" s="68">
        <v>6.24</v>
      </c>
      <c r="W212" s="31">
        <f>H211/V212</f>
        <v>0</v>
      </c>
    </row>
    <row r="213" spans="1:23" s="12" customFormat="1">
      <c r="A213" s="143"/>
      <c r="B213" s="19" t="s">
        <v>28</v>
      </c>
      <c r="C213" s="113" t="s">
        <v>34</v>
      </c>
      <c r="D213" s="113" t="s">
        <v>34</v>
      </c>
      <c r="E213" s="113" t="s">
        <v>34</v>
      </c>
      <c r="F213" s="17">
        <f>G213/M213</f>
        <v>15140.146617948716</v>
      </c>
      <c r="G213" s="17">
        <f>G212-H212</f>
        <v>59046.571809999994</v>
      </c>
      <c r="H213" s="4">
        <f t="shared" si="25"/>
        <v>19370.288629999999</v>
      </c>
      <c r="I213" s="4">
        <v>0</v>
      </c>
      <c r="J213" s="4">
        <v>0</v>
      </c>
      <c r="K213" s="4">
        <v>19370.288629999999</v>
      </c>
      <c r="L213" s="4">
        <v>0</v>
      </c>
      <c r="M213" s="111">
        <v>3.9</v>
      </c>
      <c r="N213" s="31"/>
      <c r="V213" s="72">
        <v>6.7</v>
      </c>
      <c r="W213" s="31">
        <f>H212/V213</f>
        <v>350.38480447761197</v>
      </c>
    </row>
    <row r="214" spans="1:23" s="12" customFormat="1">
      <c r="A214" s="143"/>
      <c r="B214" s="19" t="s">
        <v>29</v>
      </c>
      <c r="C214" s="113" t="s">
        <v>34</v>
      </c>
      <c r="D214" s="113" t="s">
        <v>34</v>
      </c>
      <c r="E214" s="113" t="s">
        <v>34</v>
      </c>
      <c r="F214" s="17">
        <f>G214/M214</f>
        <v>10173.405943589743</v>
      </c>
      <c r="G214" s="17">
        <f>G213-H213</f>
        <v>39676.283179999999</v>
      </c>
      <c r="H214" s="4">
        <f t="shared" si="25"/>
        <v>454.529</v>
      </c>
      <c r="I214" s="4">
        <v>0</v>
      </c>
      <c r="J214" s="4">
        <v>0</v>
      </c>
      <c r="K214" s="4">
        <v>454.529</v>
      </c>
      <c r="L214" s="4">
        <v>0</v>
      </c>
      <c r="M214" s="111">
        <v>3.9</v>
      </c>
      <c r="N214" s="31"/>
      <c r="V214" s="72">
        <v>7.0651846556786886</v>
      </c>
      <c r="W214" s="31">
        <f>H213/V214</f>
        <v>2741.65355528691</v>
      </c>
    </row>
    <row r="215" spans="1:23" s="12" customFormat="1">
      <c r="A215" s="143"/>
      <c r="B215" s="19" t="s">
        <v>30</v>
      </c>
      <c r="C215" s="113" t="s">
        <v>34</v>
      </c>
      <c r="D215" s="113" t="s">
        <v>34</v>
      </c>
      <c r="E215" s="113" t="s">
        <v>34</v>
      </c>
      <c r="F215" s="17">
        <f>G215/M215</f>
        <v>10056.860046153846</v>
      </c>
      <c r="G215" s="17">
        <f>G214-H214</f>
        <v>39221.754179999996</v>
      </c>
      <c r="H215" s="4">
        <f>I215+J215+K215+L215</f>
        <v>15354.761210000001</v>
      </c>
      <c r="I215" s="4">
        <v>0</v>
      </c>
      <c r="J215" s="4">
        <v>0</v>
      </c>
      <c r="K215" s="4">
        <v>15354.761210000001</v>
      </c>
      <c r="L215" s="4">
        <v>0</v>
      </c>
      <c r="M215" s="111">
        <v>3.9</v>
      </c>
      <c r="N215" s="31"/>
      <c r="V215" s="72">
        <v>7.4467046270853379</v>
      </c>
      <c r="W215" s="31">
        <f>H214/V215</f>
        <v>61.037602907838711</v>
      </c>
    </row>
    <row r="216" spans="1:23" s="12" customFormat="1">
      <c r="A216" s="143"/>
      <c r="B216" s="19" t="s">
        <v>243</v>
      </c>
      <c r="C216" s="113" t="s">
        <v>34</v>
      </c>
      <c r="D216" s="113" t="s">
        <v>34</v>
      </c>
      <c r="E216" s="113" t="s">
        <v>34</v>
      </c>
      <c r="F216" s="17">
        <f>G216/M216</f>
        <v>6119.741787179486</v>
      </c>
      <c r="G216" s="17">
        <f>G215-H215</f>
        <v>23866.992969999996</v>
      </c>
      <c r="H216" s="4">
        <f t="shared" si="25"/>
        <v>20217.88092</v>
      </c>
      <c r="I216" s="4">
        <v>0</v>
      </c>
      <c r="J216" s="4">
        <v>0</v>
      </c>
      <c r="K216" s="4">
        <v>20217.88092</v>
      </c>
      <c r="L216" s="4">
        <v>0</v>
      </c>
      <c r="M216" s="111">
        <v>3.9</v>
      </c>
      <c r="N216" s="31"/>
      <c r="V216" s="72"/>
      <c r="W216" s="31"/>
    </row>
    <row r="217" spans="1:23" s="12" customFormat="1">
      <c r="A217" s="144"/>
      <c r="B217" s="19" t="s">
        <v>244</v>
      </c>
      <c r="C217" s="113" t="s">
        <v>34</v>
      </c>
      <c r="D217" s="113" t="s">
        <v>34</v>
      </c>
      <c r="E217" s="113" t="s">
        <v>34</v>
      </c>
      <c r="F217" s="17">
        <f>G217/M217</f>
        <v>1488.332576923076</v>
      </c>
      <c r="G217" s="17">
        <f>G216-H216+2155.385</f>
        <v>5804.4970499999963</v>
      </c>
      <c r="H217" s="4">
        <f>I217+J217+K217+L217</f>
        <v>1422.2805800000001</v>
      </c>
      <c r="I217" s="4">
        <v>0</v>
      </c>
      <c r="J217" s="4">
        <v>0</v>
      </c>
      <c r="K217" s="4">
        <v>1422.2805800000001</v>
      </c>
      <c r="L217" s="4">
        <v>0</v>
      </c>
      <c r="M217" s="111">
        <v>3.9</v>
      </c>
      <c r="N217" s="31"/>
      <c r="V217" s="72"/>
      <c r="W217" s="31"/>
    </row>
    <row r="218" spans="1:23" s="108" customFormat="1" ht="58.5" customHeight="1">
      <c r="A218" s="142" t="s">
        <v>204</v>
      </c>
      <c r="B218" s="19" t="s">
        <v>193</v>
      </c>
      <c r="C218" s="114" t="s">
        <v>252</v>
      </c>
      <c r="D218" s="113" t="s">
        <v>247</v>
      </c>
      <c r="E218" s="4">
        <v>22221.13</v>
      </c>
      <c r="F218" s="113" t="s">
        <v>34</v>
      </c>
      <c r="G218" s="113" t="s">
        <v>34</v>
      </c>
      <c r="H218" s="4">
        <f>I218+J218+K218+L218</f>
        <v>8428.4292600000008</v>
      </c>
      <c r="I218" s="4">
        <f>SUM(I219:I225)</f>
        <v>0</v>
      </c>
      <c r="J218" s="4">
        <f t="shared" ref="J218:K218" si="27">SUM(J219:J225)</f>
        <v>0</v>
      </c>
      <c r="K218" s="4">
        <f t="shared" si="27"/>
        <v>8428.4292600000008</v>
      </c>
      <c r="L218" s="4">
        <f>SUM(L219:L225)</f>
        <v>0</v>
      </c>
      <c r="M218" s="106"/>
      <c r="N218" s="107"/>
    </row>
    <row r="219" spans="1:23" s="108" customFormat="1">
      <c r="A219" s="143"/>
      <c r="B219" s="47" t="s">
        <v>2</v>
      </c>
      <c r="C219" s="113" t="s">
        <v>34</v>
      </c>
      <c r="D219" s="113" t="s">
        <v>34</v>
      </c>
      <c r="E219" s="113" t="s">
        <v>34</v>
      </c>
      <c r="F219" s="4">
        <v>0</v>
      </c>
      <c r="G219" s="4">
        <v>0</v>
      </c>
      <c r="H219" s="4">
        <f t="shared" si="25"/>
        <v>0</v>
      </c>
      <c r="I219" s="4">
        <v>0</v>
      </c>
      <c r="J219" s="4">
        <v>0</v>
      </c>
      <c r="K219" s="4">
        <v>0</v>
      </c>
      <c r="L219" s="4">
        <v>0</v>
      </c>
      <c r="M219" s="68">
        <v>5.4316964175493201</v>
      </c>
      <c r="N219" s="107"/>
    </row>
    <row r="220" spans="1:23" s="108" customFormat="1">
      <c r="A220" s="143"/>
      <c r="B220" s="47" t="s">
        <v>0</v>
      </c>
      <c r="C220" s="113" t="s">
        <v>34</v>
      </c>
      <c r="D220" s="113" t="s">
        <v>34</v>
      </c>
      <c r="E220" s="113" t="s">
        <v>34</v>
      </c>
      <c r="F220" s="4">
        <f>F219</f>
        <v>0</v>
      </c>
      <c r="G220" s="4">
        <f>G219</f>
        <v>0</v>
      </c>
      <c r="H220" s="4">
        <f t="shared" si="25"/>
        <v>0</v>
      </c>
      <c r="I220" s="4">
        <v>0</v>
      </c>
      <c r="J220" s="4">
        <v>0</v>
      </c>
      <c r="K220" s="4">
        <v>0</v>
      </c>
      <c r="L220" s="4">
        <v>0</v>
      </c>
      <c r="M220" s="68">
        <v>6.24</v>
      </c>
      <c r="N220" s="107"/>
    </row>
    <row r="221" spans="1:23" s="108" customFormat="1">
      <c r="A221" s="143"/>
      <c r="B221" s="19" t="s">
        <v>28</v>
      </c>
      <c r="C221" s="113" t="s">
        <v>34</v>
      </c>
      <c r="D221" s="113" t="s">
        <v>34</v>
      </c>
      <c r="E221" s="113" t="s">
        <v>34</v>
      </c>
      <c r="F221" s="4">
        <f>F220</f>
        <v>0</v>
      </c>
      <c r="G221" s="4">
        <f>G220</f>
        <v>0</v>
      </c>
      <c r="H221" s="4">
        <f>I221+J221+K221+L221</f>
        <v>0</v>
      </c>
      <c r="I221" s="4">
        <v>0</v>
      </c>
      <c r="J221" s="4">
        <v>0</v>
      </c>
      <c r="K221" s="4">
        <v>0</v>
      </c>
      <c r="L221" s="4">
        <v>0</v>
      </c>
      <c r="M221" s="72">
        <v>6.7</v>
      </c>
      <c r="N221" s="107"/>
    </row>
    <row r="222" spans="1:23" s="108" customFormat="1">
      <c r="A222" s="143"/>
      <c r="B222" s="19" t="s">
        <v>29</v>
      </c>
      <c r="C222" s="113" t="s">
        <v>34</v>
      </c>
      <c r="D222" s="113" t="s">
        <v>34</v>
      </c>
      <c r="E222" s="113" t="s">
        <v>34</v>
      </c>
      <c r="F222" s="4">
        <f>E218</f>
        <v>22221.13</v>
      </c>
      <c r="G222" s="4">
        <v>140397.15</v>
      </c>
      <c r="H222" s="4">
        <f>I222+J222+K222+L222</f>
        <v>2078.2022099999999</v>
      </c>
      <c r="I222" s="4">
        <v>0</v>
      </c>
      <c r="J222" s="4">
        <v>0</v>
      </c>
      <c r="K222" s="43">
        <v>2078.2022099999999</v>
      </c>
      <c r="L222" s="4">
        <v>0</v>
      </c>
      <c r="M222" s="72">
        <v>7.0651846556786886</v>
      </c>
      <c r="N222" s="107"/>
    </row>
    <row r="223" spans="1:23" s="108" customFormat="1">
      <c r="A223" s="143"/>
      <c r="B223" s="19" t="s">
        <v>30</v>
      </c>
      <c r="C223" s="113" t="s">
        <v>34</v>
      </c>
      <c r="D223" s="113" t="s">
        <v>34</v>
      </c>
      <c r="E223" s="113" t="s">
        <v>34</v>
      </c>
      <c r="F223" s="4">
        <f>G223/M223</f>
        <v>18574.517819184464</v>
      </c>
      <c r="G223" s="4">
        <f>G222-H222</f>
        <v>138318.94779000001</v>
      </c>
      <c r="H223" s="4">
        <f>I223+J223+K223+L223</f>
        <v>0</v>
      </c>
      <c r="I223" s="4">
        <v>0</v>
      </c>
      <c r="J223" s="4">
        <v>0</v>
      </c>
      <c r="K223" s="25">
        <v>0</v>
      </c>
      <c r="L223" s="4">
        <v>0</v>
      </c>
      <c r="M223" s="72">
        <v>7.4467046270853379</v>
      </c>
      <c r="N223" s="107"/>
    </row>
    <row r="224" spans="1:23" s="108" customFormat="1">
      <c r="A224" s="143"/>
      <c r="B224" s="19" t="s">
        <v>243</v>
      </c>
      <c r="C224" s="113" t="s">
        <v>34</v>
      </c>
      <c r="D224" s="113" t="s">
        <v>34</v>
      </c>
      <c r="E224" s="113" t="s">
        <v>34</v>
      </c>
      <c r="F224" s="4">
        <f>G224/M224</f>
        <v>18574.517819184464</v>
      </c>
      <c r="G224" s="4">
        <f>G223-H223</f>
        <v>138318.94779000001</v>
      </c>
      <c r="H224" s="4">
        <f t="shared" ref="H224:H225" si="28">I224+J224+K224+L224</f>
        <v>322.61439999999999</v>
      </c>
      <c r="I224" s="4">
        <v>0</v>
      </c>
      <c r="J224" s="4">
        <v>0</v>
      </c>
      <c r="K224" s="25">
        <v>322.61439999999999</v>
      </c>
      <c r="L224" s="4">
        <v>0</v>
      </c>
      <c r="M224" s="72">
        <v>7.4467046270853379</v>
      </c>
      <c r="N224" s="107"/>
      <c r="V224" s="72"/>
    </row>
    <row r="225" spans="1:22" s="108" customFormat="1">
      <c r="A225" s="144"/>
      <c r="B225" s="19" t="s">
        <v>244</v>
      </c>
      <c r="C225" s="113" t="s">
        <v>34</v>
      </c>
      <c r="D225" s="113" t="s">
        <v>34</v>
      </c>
      <c r="E225" s="113" t="s">
        <v>34</v>
      </c>
      <c r="F225" s="4">
        <f>G225/M225</f>
        <v>18531.194709680891</v>
      </c>
      <c r="G225" s="4">
        <f>G224-H224</f>
        <v>137996.33339000001</v>
      </c>
      <c r="H225" s="4">
        <f t="shared" si="28"/>
        <v>6027.61265</v>
      </c>
      <c r="I225" s="4">
        <v>0</v>
      </c>
      <c r="J225" s="4">
        <v>0</v>
      </c>
      <c r="K225" s="25">
        <v>6027.61265</v>
      </c>
      <c r="L225" s="4">
        <v>0</v>
      </c>
      <c r="M225" s="72">
        <v>7.4467046270853379</v>
      </c>
      <c r="N225" s="107"/>
      <c r="V225" s="72"/>
    </row>
    <row r="226" spans="1:22" s="60" customFormat="1" ht="107.25" customHeight="1">
      <c r="A226" s="139" t="s">
        <v>201</v>
      </c>
      <c r="B226" s="39" t="s">
        <v>233</v>
      </c>
      <c r="C226" s="33" t="s">
        <v>14</v>
      </c>
      <c r="D226" s="33" t="s">
        <v>224</v>
      </c>
      <c r="E226" s="34" t="s">
        <v>14</v>
      </c>
      <c r="F226" s="34" t="s">
        <v>14</v>
      </c>
      <c r="G226" s="34" t="s">
        <v>14</v>
      </c>
      <c r="H226" s="34">
        <f t="shared" ref="H226:L231" si="29">H234+H240+H246+H252+H260+H266+H272</f>
        <v>171101.94269</v>
      </c>
      <c r="I226" s="34">
        <f t="shared" si="29"/>
        <v>42183.4</v>
      </c>
      <c r="J226" s="34">
        <f t="shared" si="29"/>
        <v>0</v>
      </c>
      <c r="K226" s="34">
        <f t="shared" si="29"/>
        <v>128918.54268999999</v>
      </c>
      <c r="L226" s="34">
        <f t="shared" si="29"/>
        <v>0</v>
      </c>
      <c r="M226" s="54"/>
      <c r="N226" s="55">
        <f>SUM(N227:N231)</f>
        <v>13498.592685561769</v>
      </c>
    </row>
    <row r="227" spans="1:22" s="60" customFormat="1">
      <c r="A227" s="140"/>
      <c r="B227" s="39" t="s">
        <v>19</v>
      </c>
      <c r="C227" s="33" t="s">
        <v>14</v>
      </c>
      <c r="D227" s="33" t="s">
        <v>14</v>
      </c>
      <c r="E227" s="34" t="s">
        <v>14</v>
      </c>
      <c r="F227" s="34">
        <f t="shared" ref="F227:G231" si="30">F235+F241+F247+F253+F261+F267+F273</f>
        <v>12749.422451828636</v>
      </c>
      <c r="G227" s="34">
        <f t="shared" si="30"/>
        <v>69963.853999999992</v>
      </c>
      <c r="H227" s="34">
        <f t="shared" si="29"/>
        <v>14794.59</v>
      </c>
      <c r="I227" s="34">
        <f t="shared" si="29"/>
        <v>0</v>
      </c>
      <c r="J227" s="34">
        <f t="shared" si="29"/>
        <v>0</v>
      </c>
      <c r="K227" s="34">
        <f t="shared" si="29"/>
        <v>14794.59</v>
      </c>
      <c r="L227" s="34">
        <f t="shared" si="29"/>
        <v>0</v>
      </c>
      <c r="M227" s="54">
        <v>6.0168239999999997</v>
      </c>
      <c r="N227" s="57">
        <f>H227/M227</f>
        <v>2458.8703276014057</v>
      </c>
    </row>
    <row r="228" spans="1:22" s="60" customFormat="1">
      <c r="A228" s="140"/>
      <c r="B228" s="39" t="s">
        <v>20</v>
      </c>
      <c r="C228" s="33" t="s">
        <v>14</v>
      </c>
      <c r="D228" s="33" t="s">
        <v>14</v>
      </c>
      <c r="E228" s="34" t="s">
        <v>14</v>
      </c>
      <c r="F228" s="34">
        <f t="shared" si="30"/>
        <v>8841.2282051282054</v>
      </c>
      <c r="G228" s="34">
        <f t="shared" si="30"/>
        <v>55169.264000000003</v>
      </c>
      <c r="H228" s="34">
        <f t="shared" si="29"/>
        <v>185.864</v>
      </c>
      <c r="I228" s="34">
        <f t="shared" si="29"/>
        <v>0</v>
      </c>
      <c r="J228" s="34">
        <f t="shared" si="29"/>
        <v>0</v>
      </c>
      <c r="K228" s="34">
        <f t="shared" si="29"/>
        <v>185.864</v>
      </c>
      <c r="L228" s="34">
        <f t="shared" si="29"/>
        <v>0</v>
      </c>
      <c r="M228" s="54">
        <v>6.3597829679999993</v>
      </c>
      <c r="N228" s="57">
        <f>H228/M228</f>
        <v>29.224896656882272</v>
      </c>
    </row>
    <row r="229" spans="1:22" s="60" customFormat="1">
      <c r="A229" s="140"/>
      <c r="B229" s="39" t="s">
        <v>28</v>
      </c>
      <c r="C229" s="33" t="s">
        <v>14</v>
      </c>
      <c r="D229" s="33" t="s">
        <v>14</v>
      </c>
      <c r="E229" s="34" t="s">
        <v>14</v>
      </c>
      <c r="F229" s="34">
        <f t="shared" si="30"/>
        <v>10514.03054760604</v>
      </c>
      <c r="G229" s="34">
        <f t="shared" si="30"/>
        <v>70450.600000000006</v>
      </c>
      <c r="H229" s="34">
        <f t="shared" si="29"/>
        <v>58450.6</v>
      </c>
      <c r="I229" s="34">
        <f t="shared" si="29"/>
        <v>42183.4</v>
      </c>
      <c r="J229" s="34">
        <f t="shared" si="29"/>
        <v>0</v>
      </c>
      <c r="K229" s="34">
        <f t="shared" si="29"/>
        <v>16267.2</v>
      </c>
      <c r="L229" s="34">
        <f t="shared" si="29"/>
        <v>0</v>
      </c>
      <c r="M229" s="58">
        <v>6.7032112482719999</v>
      </c>
      <c r="N229" s="57">
        <f>H229/M229</f>
        <v>8719.7908338436737</v>
      </c>
    </row>
    <row r="230" spans="1:22" s="60" customFormat="1">
      <c r="A230" s="140"/>
      <c r="B230" s="39" t="s">
        <v>29</v>
      </c>
      <c r="C230" s="33" t="s">
        <v>14</v>
      </c>
      <c r="D230" s="33" t="s">
        <v>14</v>
      </c>
      <c r="E230" s="34" t="s">
        <v>14</v>
      </c>
      <c r="F230" s="34">
        <f t="shared" si="30"/>
        <v>15652.129408064928</v>
      </c>
      <c r="G230" s="34">
        <f t="shared" si="30"/>
        <v>97670.918000000005</v>
      </c>
      <c r="H230" s="34">
        <f t="shared" si="29"/>
        <v>15041.487999999999</v>
      </c>
      <c r="I230" s="34">
        <f t="shared" si="29"/>
        <v>0</v>
      </c>
      <c r="J230" s="34">
        <f t="shared" si="29"/>
        <v>0</v>
      </c>
      <c r="K230" s="34">
        <f t="shared" si="29"/>
        <v>15041.487999999999</v>
      </c>
      <c r="L230" s="34">
        <f t="shared" si="29"/>
        <v>0</v>
      </c>
      <c r="M230" s="58">
        <v>7.0651846556786886</v>
      </c>
      <c r="N230" s="57">
        <f>H230/M230</f>
        <v>2128.9589349813109</v>
      </c>
    </row>
    <row r="231" spans="1:22" s="60" customFormat="1">
      <c r="A231" s="140"/>
      <c r="B231" s="39" t="s">
        <v>30</v>
      </c>
      <c r="C231" s="33" t="s">
        <v>14</v>
      </c>
      <c r="D231" s="33" t="s">
        <v>14</v>
      </c>
      <c r="E231" s="34" t="s">
        <v>14</v>
      </c>
      <c r="F231" s="34">
        <f t="shared" si="30"/>
        <v>11096.106820117211</v>
      </c>
      <c r="G231" s="34">
        <f t="shared" si="30"/>
        <v>82629.430000000008</v>
      </c>
      <c r="H231" s="34">
        <f t="shared" si="29"/>
        <v>1204.48729</v>
      </c>
      <c r="I231" s="34">
        <f t="shared" si="29"/>
        <v>0</v>
      </c>
      <c r="J231" s="34">
        <f t="shared" si="29"/>
        <v>0</v>
      </c>
      <c r="K231" s="34">
        <f t="shared" si="29"/>
        <v>1204.48729</v>
      </c>
      <c r="L231" s="34">
        <f t="shared" si="29"/>
        <v>0</v>
      </c>
      <c r="M231" s="58">
        <v>7.4467046270853379</v>
      </c>
      <c r="N231" s="57">
        <f>H231/M231</f>
        <v>161.74769247849702</v>
      </c>
    </row>
    <row r="232" spans="1:22" s="60" customFormat="1">
      <c r="A232" s="140"/>
      <c r="B232" s="39" t="s">
        <v>243</v>
      </c>
      <c r="C232" s="33" t="s">
        <v>14</v>
      </c>
      <c r="D232" s="33" t="s">
        <v>14</v>
      </c>
      <c r="E232" s="33" t="s">
        <v>14</v>
      </c>
      <c r="F232" s="34">
        <f t="shared" ref="F232:G232" si="31">F258</f>
        <v>10934.359127638712</v>
      </c>
      <c r="G232" s="34">
        <f t="shared" si="31"/>
        <v>81424.942710000003</v>
      </c>
      <c r="H232" s="34">
        <f>H258</f>
        <v>36424.913399999998</v>
      </c>
      <c r="I232" s="34">
        <f t="shared" ref="I232:L232" si="32">I258</f>
        <v>0</v>
      </c>
      <c r="J232" s="34">
        <f t="shared" si="32"/>
        <v>0</v>
      </c>
      <c r="K232" s="34">
        <f t="shared" si="32"/>
        <v>36424.913399999998</v>
      </c>
      <c r="L232" s="34">
        <f t="shared" si="32"/>
        <v>0</v>
      </c>
      <c r="M232" s="58"/>
      <c r="N232" s="57"/>
    </row>
    <row r="233" spans="1:22" s="60" customFormat="1">
      <c r="A233" s="141"/>
      <c r="B233" s="39" t="s">
        <v>244</v>
      </c>
      <c r="C233" s="33" t="s">
        <v>14</v>
      </c>
      <c r="D233" s="33" t="s">
        <v>14</v>
      </c>
      <c r="E233" s="33" t="s">
        <v>14</v>
      </c>
      <c r="F233" s="34">
        <f t="shared" ref="F233:G233" si="33">F259</f>
        <v>6042.9453783254394</v>
      </c>
      <c r="G233" s="34">
        <f t="shared" si="33"/>
        <v>45000.029310000005</v>
      </c>
      <c r="H233" s="34">
        <f>H259</f>
        <v>45000</v>
      </c>
      <c r="I233" s="34">
        <f t="shared" ref="I233:L233" si="34">I259</f>
        <v>0</v>
      </c>
      <c r="J233" s="34">
        <f t="shared" si="34"/>
        <v>0</v>
      </c>
      <c r="K233" s="34">
        <f t="shared" si="34"/>
        <v>45000</v>
      </c>
      <c r="L233" s="34">
        <f t="shared" si="34"/>
        <v>0</v>
      </c>
      <c r="M233" s="58"/>
      <c r="N233" s="57"/>
    </row>
    <row r="234" spans="1:22" s="6" customFormat="1" ht="38.25" customHeight="1">
      <c r="A234" s="142" t="s">
        <v>86</v>
      </c>
      <c r="B234" s="14" t="s">
        <v>25</v>
      </c>
      <c r="C234" s="46" t="s">
        <v>16</v>
      </c>
      <c r="D234" s="46" t="s">
        <v>64</v>
      </c>
      <c r="E234" s="17">
        <v>13333.3</v>
      </c>
      <c r="F234" s="16" t="s">
        <v>14</v>
      </c>
      <c r="G234" s="16" t="s">
        <v>14</v>
      </c>
      <c r="H234" s="4">
        <f t="shared" ref="H234:H277" si="35">I234+J234+K234+L234</f>
        <v>2269.41</v>
      </c>
      <c r="I234" s="4">
        <f>SUM(I235:I239)</f>
        <v>0</v>
      </c>
      <c r="J234" s="4">
        <f>SUM(J235:J239)</f>
        <v>0</v>
      </c>
      <c r="K234" s="4">
        <f>SUM(K235:K239)</f>
        <v>2269.41</v>
      </c>
      <c r="L234" s="4">
        <f>SUM(L235:L239)</f>
        <v>0</v>
      </c>
      <c r="M234" s="20"/>
      <c r="N234" s="30">
        <f>SUM(N235:N239)</f>
        <v>377.17739458558202</v>
      </c>
      <c r="U234" s="68"/>
      <c r="V234" s="30">
        <f>V235+V236+V237+V238+V239</f>
        <v>417.80869649999977</v>
      </c>
    </row>
    <row r="235" spans="1:22" s="6" customFormat="1">
      <c r="A235" s="143"/>
      <c r="B235" s="19" t="s">
        <v>19</v>
      </c>
      <c r="C235" s="15" t="s">
        <v>14</v>
      </c>
      <c r="D235" s="59" t="s">
        <v>14</v>
      </c>
      <c r="E235" s="16" t="s">
        <v>14</v>
      </c>
      <c r="F235" s="17">
        <f>G235/6.04</f>
        <v>375.7301324503311</v>
      </c>
      <c r="G235" s="17">
        <f>H234</f>
        <v>2269.41</v>
      </c>
      <c r="H235" s="4">
        <f t="shared" si="35"/>
        <v>2269.41</v>
      </c>
      <c r="I235" s="4">
        <v>0</v>
      </c>
      <c r="J235" s="4">
        <v>0</v>
      </c>
      <c r="K235" s="4">
        <v>2269.41</v>
      </c>
      <c r="L235" s="4">
        <v>0</v>
      </c>
      <c r="M235" s="20">
        <v>6.0168239999999997</v>
      </c>
      <c r="N235" s="31">
        <f>H235/M235</f>
        <v>377.17739458558202</v>
      </c>
      <c r="U235" s="68">
        <v>5.4316964175493201</v>
      </c>
      <c r="V235" s="31">
        <f>H235/U235</f>
        <v>417.80869649999977</v>
      </c>
    </row>
    <row r="236" spans="1:22" s="6" customFormat="1">
      <c r="A236" s="143"/>
      <c r="B236" s="19" t="s">
        <v>20</v>
      </c>
      <c r="C236" s="15" t="s">
        <v>14</v>
      </c>
      <c r="D236" s="59" t="s">
        <v>14</v>
      </c>
      <c r="E236" s="16" t="s">
        <v>14</v>
      </c>
      <c r="F236" s="17">
        <f>G236/6.49</f>
        <v>0</v>
      </c>
      <c r="G236" s="17">
        <f>G235-H235</f>
        <v>0</v>
      </c>
      <c r="H236" s="4">
        <f t="shared" si="35"/>
        <v>0</v>
      </c>
      <c r="I236" s="4">
        <v>0</v>
      </c>
      <c r="J236" s="4">
        <v>0</v>
      </c>
      <c r="K236" s="4">
        <v>0</v>
      </c>
      <c r="L236" s="4">
        <v>0</v>
      </c>
      <c r="M236" s="20">
        <v>6.3597829679999993</v>
      </c>
      <c r="N236" s="31">
        <f>H236/M236</f>
        <v>0</v>
      </c>
      <c r="U236" s="68">
        <v>6.24</v>
      </c>
      <c r="V236" s="31">
        <f>H236/U236</f>
        <v>0</v>
      </c>
    </row>
    <row r="237" spans="1:22" s="12" customFormat="1">
      <c r="A237" s="143"/>
      <c r="B237" s="19" t="s">
        <v>28</v>
      </c>
      <c r="C237" s="9" t="s">
        <v>34</v>
      </c>
      <c r="D237" s="9" t="s">
        <v>34</v>
      </c>
      <c r="E237" s="17" t="s">
        <v>34</v>
      </c>
      <c r="F237" s="17">
        <f>G237/M237</f>
        <v>0</v>
      </c>
      <c r="G237" s="17">
        <f>G236-H236</f>
        <v>0</v>
      </c>
      <c r="H237" s="4">
        <f t="shared" si="35"/>
        <v>0</v>
      </c>
      <c r="I237" s="4">
        <v>0</v>
      </c>
      <c r="J237" s="4">
        <v>0</v>
      </c>
      <c r="K237" s="25">
        <v>0</v>
      </c>
      <c r="L237" s="4">
        <v>0</v>
      </c>
      <c r="M237" s="21">
        <v>6.7032112482719999</v>
      </c>
      <c r="N237" s="31">
        <f>H237/M237</f>
        <v>0</v>
      </c>
      <c r="U237" s="72">
        <v>6.7</v>
      </c>
      <c r="V237" s="31">
        <f>H237/U237</f>
        <v>0</v>
      </c>
    </row>
    <row r="238" spans="1:22" s="12" customFormat="1">
      <c r="A238" s="143"/>
      <c r="B238" s="19" t="s">
        <v>29</v>
      </c>
      <c r="C238" s="9" t="s">
        <v>34</v>
      </c>
      <c r="D238" s="9" t="s">
        <v>34</v>
      </c>
      <c r="E238" s="17" t="s">
        <v>34</v>
      </c>
      <c r="F238" s="17">
        <f>G238/M238</f>
        <v>0</v>
      </c>
      <c r="G238" s="17">
        <f>G237-H237</f>
        <v>0</v>
      </c>
      <c r="H238" s="4">
        <f t="shared" si="35"/>
        <v>0</v>
      </c>
      <c r="I238" s="4">
        <v>0</v>
      </c>
      <c r="J238" s="4">
        <v>0</v>
      </c>
      <c r="K238" s="25">
        <v>0</v>
      </c>
      <c r="L238" s="4">
        <v>0</v>
      </c>
      <c r="M238" s="21">
        <v>7.0651846556786886</v>
      </c>
      <c r="N238" s="31">
        <f>H238/M238</f>
        <v>0</v>
      </c>
      <c r="U238" s="72">
        <v>7.0651846556786886</v>
      </c>
      <c r="V238" s="31">
        <f>H238/U238</f>
        <v>0</v>
      </c>
    </row>
    <row r="239" spans="1:22" s="12" customFormat="1">
      <c r="A239" s="144"/>
      <c r="B239" s="19" t="s">
        <v>30</v>
      </c>
      <c r="C239" s="9" t="s">
        <v>34</v>
      </c>
      <c r="D239" s="9" t="s">
        <v>34</v>
      </c>
      <c r="E239" s="17" t="s">
        <v>34</v>
      </c>
      <c r="F239" s="17">
        <f>G239/M239</f>
        <v>0</v>
      </c>
      <c r="G239" s="17">
        <f>G238-H238</f>
        <v>0</v>
      </c>
      <c r="H239" s="4">
        <f t="shared" si="35"/>
        <v>0</v>
      </c>
      <c r="I239" s="4">
        <v>0</v>
      </c>
      <c r="J239" s="4">
        <v>0</v>
      </c>
      <c r="K239" s="25">
        <v>0</v>
      </c>
      <c r="L239" s="4">
        <v>0</v>
      </c>
      <c r="M239" s="21">
        <v>7.4467046270853379</v>
      </c>
      <c r="N239" s="31">
        <f>H239/M239</f>
        <v>0</v>
      </c>
      <c r="U239" s="72">
        <v>7.4467046270853379</v>
      </c>
      <c r="V239" s="31">
        <f>H239/U239</f>
        <v>0</v>
      </c>
    </row>
    <row r="240" spans="1:22" s="6" customFormat="1" ht="63.75">
      <c r="A240" s="136" t="s">
        <v>158</v>
      </c>
      <c r="B240" s="116" t="s">
        <v>159</v>
      </c>
      <c r="C240" s="46" t="s">
        <v>160</v>
      </c>
      <c r="D240" s="46" t="s">
        <v>92</v>
      </c>
      <c r="E240" s="17">
        <f>V240</f>
        <v>23385.042036243824</v>
      </c>
      <c r="F240" s="16" t="s">
        <v>14</v>
      </c>
      <c r="G240" s="16" t="s">
        <v>14</v>
      </c>
      <c r="H240" s="4">
        <f t="shared" si="35"/>
        <v>51268.434000000001</v>
      </c>
      <c r="I240" s="4">
        <f>SUM(I241:I245)</f>
        <v>30483.4</v>
      </c>
      <c r="J240" s="4">
        <f>SUM(J241:J245)</f>
        <v>0</v>
      </c>
      <c r="K240" s="4">
        <f>SUM(K241:K245)</f>
        <v>20785.034</v>
      </c>
      <c r="L240" s="4">
        <f>SUM(L241:L245)</f>
        <v>0</v>
      </c>
      <c r="M240" s="20"/>
      <c r="N240" s="30">
        <f>SUM(N241:N245)</f>
        <v>7753.9878901860502</v>
      </c>
      <c r="U240" s="68"/>
      <c r="V240" s="30">
        <f>V241+V242+V243+V244+V245</f>
        <v>23385.042036243824</v>
      </c>
    </row>
    <row r="241" spans="1:22" s="6" customFormat="1">
      <c r="A241" s="137"/>
      <c r="B241" s="26" t="s">
        <v>2</v>
      </c>
      <c r="C241" s="15" t="s">
        <v>14</v>
      </c>
      <c r="D241" s="59" t="s">
        <v>14</v>
      </c>
      <c r="E241" s="16" t="s">
        <v>14</v>
      </c>
      <c r="F241" s="17">
        <f>V241</f>
        <v>9438.7517377363583</v>
      </c>
      <c r="G241" s="17">
        <f>H240</f>
        <v>51268.434000000001</v>
      </c>
      <c r="H241" s="4">
        <f t="shared" si="35"/>
        <v>6138.57</v>
      </c>
      <c r="I241" s="4">
        <v>0</v>
      </c>
      <c r="J241" s="4">
        <v>0</v>
      </c>
      <c r="K241" s="4">
        <v>6138.57</v>
      </c>
      <c r="L241" s="4">
        <v>0</v>
      </c>
      <c r="M241" s="20">
        <v>6.0168239999999997</v>
      </c>
      <c r="N241" s="31">
        <f>H241/M241</f>
        <v>1020.2342631261942</v>
      </c>
      <c r="U241" s="68">
        <v>5.4316964175493201</v>
      </c>
      <c r="V241" s="31">
        <f>G241/U241</f>
        <v>9438.7517377363583</v>
      </c>
    </row>
    <row r="242" spans="1:22" s="6" customFormat="1">
      <c r="A242" s="137"/>
      <c r="B242" s="26" t="s">
        <v>0</v>
      </c>
      <c r="C242" s="15" t="s">
        <v>14</v>
      </c>
      <c r="D242" s="59" t="s">
        <v>14</v>
      </c>
      <c r="E242" s="16" t="s">
        <v>14</v>
      </c>
      <c r="F242" s="17">
        <f>V242</f>
        <v>7232.35</v>
      </c>
      <c r="G242" s="17">
        <f>G241-H241</f>
        <v>45129.864000000001</v>
      </c>
      <c r="H242" s="4">
        <f t="shared" si="35"/>
        <v>146.464</v>
      </c>
      <c r="I242" s="4">
        <v>0</v>
      </c>
      <c r="J242" s="4">
        <v>0</v>
      </c>
      <c r="K242" s="4">
        <v>146.464</v>
      </c>
      <c r="L242" s="4">
        <v>0</v>
      </c>
      <c r="M242" s="20">
        <v>6.3597829679999993</v>
      </c>
      <c r="N242" s="31">
        <f>H242/M242</f>
        <v>23.029716695829237</v>
      </c>
      <c r="U242" s="68">
        <v>6.24</v>
      </c>
      <c r="V242" s="31">
        <f>G242/U242</f>
        <v>7232.35</v>
      </c>
    </row>
    <row r="243" spans="1:22" s="12" customFormat="1">
      <c r="A243" s="137"/>
      <c r="B243" s="26" t="s">
        <v>28</v>
      </c>
      <c r="C243" s="9" t="s">
        <v>34</v>
      </c>
      <c r="D243" s="9" t="s">
        <v>34</v>
      </c>
      <c r="E243" s="17" t="s">
        <v>34</v>
      </c>
      <c r="F243" s="17">
        <f>V243</f>
        <v>6713.940298507463</v>
      </c>
      <c r="G243" s="17">
        <f>G242-H242</f>
        <v>44983.4</v>
      </c>
      <c r="H243" s="4">
        <f t="shared" si="35"/>
        <v>44983.4</v>
      </c>
      <c r="I243" s="4">
        <v>30483.4</v>
      </c>
      <c r="J243" s="4">
        <v>0</v>
      </c>
      <c r="K243" s="4">
        <v>14500</v>
      </c>
      <c r="L243" s="4">
        <v>0</v>
      </c>
      <c r="M243" s="21">
        <v>6.7032112482719999</v>
      </c>
      <c r="N243" s="31">
        <f>H243/M243</f>
        <v>6710.7239103640268</v>
      </c>
      <c r="U243" s="72">
        <v>6.7</v>
      </c>
      <c r="V243" s="31">
        <f>G243/U243</f>
        <v>6713.940298507463</v>
      </c>
    </row>
    <row r="244" spans="1:22" s="12" customFormat="1">
      <c r="A244" s="137"/>
      <c r="B244" s="26" t="s">
        <v>29</v>
      </c>
      <c r="C244" s="9" t="s">
        <v>34</v>
      </c>
      <c r="D244" s="9" t="s">
        <v>34</v>
      </c>
      <c r="E244" s="17" t="s">
        <v>34</v>
      </c>
      <c r="F244" s="17">
        <f>V244</f>
        <v>0</v>
      </c>
      <c r="G244" s="17">
        <f>G243-H243</f>
        <v>0</v>
      </c>
      <c r="H244" s="4">
        <f t="shared" si="35"/>
        <v>0</v>
      </c>
      <c r="I244" s="4">
        <v>0</v>
      </c>
      <c r="J244" s="4">
        <v>0</v>
      </c>
      <c r="K244" s="4">
        <v>0</v>
      </c>
      <c r="L244" s="4">
        <v>0</v>
      </c>
      <c r="M244" s="21">
        <v>7.0651846556786886</v>
      </c>
      <c r="N244" s="31">
        <f>H244/M244</f>
        <v>0</v>
      </c>
      <c r="U244" s="72">
        <v>7.0651846556786886</v>
      </c>
      <c r="V244" s="31">
        <f>G244/U244</f>
        <v>0</v>
      </c>
    </row>
    <row r="245" spans="1:22" s="12" customFormat="1">
      <c r="A245" s="138"/>
      <c r="B245" s="26" t="s">
        <v>30</v>
      </c>
      <c r="C245" s="9" t="s">
        <v>34</v>
      </c>
      <c r="D245" s="9" t="s">
        <v>34</v>
      </c>
      <c r="E245" s="17" t="s">
        <v>34</v>
      </c>
      <c r="F245" s="17">
        <f>V245</f>
        <v>0</v>
      </c>
      <c r="G245" s="17">
        <f>G244-H244</f>
        <v>0</v>
      </c>
      <c r="H245" s="4">
        <f t="shared" si="35"/>
        <v>0</v>
      </c>
      <c r="I245" s="4">
        <v>0</v>
      </c>
      <c r="J245" s="4">
        <v>0</v>
      </c>
      <c r="K245" s="4">
        <v>0</v>
      </c>
      <c r="L245" s="4">
        <v>0</v>
      </c>
      <c r="M245" s="21">
        <v>7.4467046270853379</v>
      </c>
      <c r="N245" s="31">
        <f>H245/M245</f>
        <v>0</v>
      </c>
      <c r="U245" s="72">
        <v>7.4467046270853379</v>
      </c>
      <c r="V245" s="31">
        <f>G245/U245</f>
        <v>0</v>
      </c>
    </row>
    <row r="246" spans="1:22" s="6" customFormat="1" ht="24" customHeight="1">
      <c r="A246" s="142" t="s">
        <v>87</v>
      </c>
      <c r="B246" s="14" t="s">
        <v>17</v>
      </c>
      <c r="C246" s="46" t="s">
        <v>18</v>
      </c>
      <c r="D246" s="8" t="s">
        <v>22</v>
      </c>
      <c r="E246" s="17">
        <v>884.5</v>
      </c>
      <c r="F246" s="16" t="s">
        <v>14</v>
      </c>
      <c r="G246" s="16" t="s">
        <v>14</v>
      </c>
      <c r="H246" s="4">
        <f>I246+J246+K246+L246</f>
        <v>4980.0600000000004</v>
      </c>
      <c r="I246" s="4">
        <f>SUM(I247:I251)</f>
        <v>0</v>
      </c>
      <c r="J246" s="4">
        <f>SUM(J247:J251)</f>
        <v>0</v>
      </c>
      <c r="K246" s="4">
        <f>SUM(K247:K251)</f>
        <v>4980.0600000000004</v>
      </c>
      <c r="L246" s="4">
        <f>SUM(L247:L251)</f>
        <v>0</v>
      </c>
      <c r="M246" s="20"/>
      <c r="N246" s="30">
        <f>SUM(N247:N251)</f>
        <v>827.68915959649155</v>
      </c>
    </row>
    <row r="247" spans="1:22" s="6" customFormat="1">
      <c r="A247" s="143"/>
      <c r="B247" s="19" t="s">
        <v>2</v>
      </c>
      <c r="C247" s="15" t="s">
        <v>14</v>
      </c>
      <c r="D247" s="59" t="s">
        <v>14</v>
      </c>
      <c r="E247" s="16" t="s">
        <v>14</v>
      </c>
      <c r="F247" s="17">
        <f>G247/M247</f>
        <v>827.68915959649155</v>
      </c>
      <c r="G247" s="17">
        <f>H246</f>
        <v>4980.0600000000004</v>
      </c>
      <c r="H247" s="4">
        <f t="shared" si="35"/>
        <v>4980.0600000000004</v>
      </c>
      <c r="I247" s="4">
        <v>0</v>
      </c>
      <c r="J247" s="4">
        <v>0</v>
      </c>
      <c r="K247" s="4">
        <v>4980.0600000000004</v>
      </c>
      <c r="L247" s="4">
        <v>0</v>
      </c>
      <c r="M247" s="20">
        <v>6.0168239999999997</v>
      </c>
      <c r="N247" s="31">
        <f>H247/M247</f>
        <v>827.68915959649155</v>
      </c>
    </row>
    <row r="248" spans="1:22" s="6" customFormat="1">
      <c r="A248" s="143"/>
      <c r="B248" s="19" t="s">
        <v>0</v>
      </c>
      <c r="C248" s="15" t="s">
        <v>14</v>
      </c>
      <c r="D248" s="59" t="s">
        <v>14</v>
      </c>
      <c r="E248" s="16" t="s">
        <v>14</v>
      </c>
      <c r="F248" s="17">
        <f>G248/M248</f>
        <v>0</v>
      </c>
      <c r="G248" s="17">
        <f>G247-H247</f>
        <v>0</v>
      </c>
      <c r="H248" s="4">
        <f t="shared" si="35"/>
        <v>0</v>
      </c>
      <c r="I248" s="4">
        <v>0</v>
      </c>
      <c r="J248" s="4">
        <v>0</v>
      </c>
      <c r="K248" s="4">
        <v>0</v>
      </c>
      <c r="L248" s="4">
        <v>0</v>
      </c>
      <c r="M248" s="20">
        <v>6.3597829679999993</v>
      </c>
      <c r="N248" s="31">
        <f>H248/M248</f>
        <v>0</v>
      </c>
    </row>
    <row r="249" spans="1:22" s="12" customFormat="1">
      <c r="A249" s="143"/>
      <c r="B249" s="19" t="s">
        <v>28</v>
      </c>
      <c r="C249" s="9" t="s">
        <v>34</v>
      </c>
      <c r="D249" s="9" t="s">
        <v>34</v>
      </c>
      <c r="E249" s="17" t="s">
        <v>34</v>
      </c>
      <c r="F249" s="17">
        <f>G249/M249</f>
        <v>0</v>
      </c>
      <c r="G249" s="17">
        <f>G248-H248</f>
        <v>0</v>
      </c>
      <c r="H249" s="4">
        <f t="shared" si="35"/>
        <v>0</v>
      </c>
      <c r="I249" s="4">
        <v>0</v>
      </c>
      <c r="J249" s="4">
        <v>0</v>
      </c>
      <c r="K249" s="4">
        <v>0</v>
      </c>
      <c r="L249" s="4">
        <v>0</v>
      </c>
      <c r="M249" s="21">
        <v>6.7032112482719999</v>
      </c>
      <c r="N249" s="31">
        <f>H249/M249</f>
        <v>0</v>
      </c>
    </row>
    <row r="250" spans="1:22" s="12" customFormat="1">
      <c r="A250" s="143"/>
      <c r="B250" s="19" t="s">
        <v>29</v>
      </c>
      <c r="C250" s="9" t="s">
        <v>34</v>
      </c>
      <c r="D250" s="9" t="s">
        <v>34</v>
      </c>
      <c r="E250" s="17" t="s">
        <v>34</v>
      </c>
      <c r="F250" s="17">
        <f>G250/M250</f>
        <v>0</v>
      </c>
      <c r="G250" s="17">
        <f>G249-H249</f>
        <v>0</v>
      </c>
      <c r="H250" s="4">
        <f t="shared" si="35"/>
        <v>0</v>
      </c>
      <c r="I250" s="4">
        <v>0</v>
      </c>
      <c r="J250" s="4">
        <v>0</v>
      </c>
      <c r="K250" s="4">
        <v>0</v>
      </c>
      <c r="L250" s="4">
        <v>0</v>
      </c>
      <c r="M250" s="21">
        <v>7.0651846556786886</v>
      </c>
      <c r="N250" s="31">
        <f>H250/M250</f>
        <v>0</v>
      </c>
    </row>
    <row r="251" spans="1:22" s="12" customFormat="1">
      <c r="A251" s="144"/>
      <c r="B251" s="19" t="s">
        <v>30</v>
      </c>
      <c r="C251" s="9" t="s">
        <v>34</v>
      </c>
      <c r="D251" s="9" t="s">
        <v>34</v>
      </c>
      <c r="E251" s="17" t="s">
        <v>34</v>
      </c>
      <c r="F251" s="17">
        <f>G251/M251</f>
        <v>0</v>
      </c>
      <c r="G251" s="17">
        <f>G250-H250</f>
        <v>0</v>
      </c>
      <c r="H251" s="4">
        <f t="shared" si="35"/>
        <v>0</v>
      </c>
      <c r="I251" s="4">
        <v>0</v>
      </c>
      <c r="J251" s="4">
        <v>0</v>
      </c>
      <c r="K251" s="4">
        <v>0</v>
      </c>
      <c r="L251" s="4">
        <v>0</v>
      </c>
      <c r="M251" s="21">
        <v>7.4467046270853379</v>
      </c>
      <c r="N251" s="31">
        <f>H251/M251</f>
        <v>0</v>
      </c>
    </row>
    <row r="252" spans="1:22" s="6" customFormat="1" ht="30" customHeight="1">
      <c r="A252" s="142" t="s">
        <v>88</v>
      </c>
      <c r="B252" s="14" t="s">
        <v>225</v>
      </c>
      <c r="C252" s="46" t="s">
        <v>226</v>
      </c>
      <c r="D252" s="112" t="s">
        <v>227</v>
      </c>
      <c r="E252" s="17">
        <v>13953.66</v>
      </c>
      <c r="F252" s="16" t="s">
        <v>14</v>
      </c>
      <c r="G252" s="16" t="s">
        <v>14</v>
      </c>
      <c r="H252" s="4">
        <f>I252+J252+K252+L252</f>
        <v>85670.888689999992</v>
      </c>
      <c r="I252" s="4">
        <f>SUM(I253:I259)</f>
        <v>0</v>
      </c>
      <c r="J252" s="4">
        <f t="shared" ref="J252:L252" si="36">SUM(J253:J259)</f>
        <v>0</v>
      </c>
      <c r="K252" s="4">
        <f t="shared" si="36"/>
        <v>85670.888689999992</v>
      </c>
      <c r="L252" s="4">
        <f t="shared" si="36"/>
        <v>0</v>
      </c>
      <c r="M252" s="20"/>
      <c r="N252" s="30">
        <f>SUM(N253:N257)</f>
        <v>592.23721939487905</v>
      </c>
    </row>
    <row r="253" spans="1:22" s="6" customFormat="1">
      <c r="A253" s="143"/>
      <c r="B253" s="19" t="s">
        <v>2</v>
      </c>
      <c r="C253" s="15" t="s">
        <v>14</v>
      </c>
      <c r="D253" s="59" t="s">
        <v>14</v>
      </c>
      <c r="E253" s="16" t="s">
        <v>14</v>
      </c>
      <c r="F253" s="17">
        <f>G253/M253</f>
        <v>0</v>
      </c>
      <c r="G253" s="17">
        <v>0</v>
      </c>
      <c r="H253" s="4">
        <f t="shared" si="35"/>
        <v>0</v>
      </c>
      <c r="I253" s="4">
        <v>0</v>
      </c>
      <c r="J253" s="4">
        <v>0</v>
      </c>
      <c r="K253" s="4">
        <v>0</v>
      </c>
      <c r="L253" s="4">
        <v>0</v>
      </c>
      <c r="M253" s="20">
        <v>6.0168239999999997</v>
      </c>
      <c r="N253" s="31">
        <f>H253/M253</f>
        <v>0</v>
      </c>
    </row>
    <row r="254" spans="1:22" s="6" customFormat="1">
      <c r="A254" s="143"/>
      <c r="B254" s="19" t="s">
        <v>0</v>
      </c>
      <c r="C254" s="15" t="s">
        <v>14</v>
      </c>
      <c r="D254" s="59" t="s">
        <v>14</v>
      </c>
      <c r="E254" s="16" t="s">
        <v>14</v>
      </c>
      <c r="F254" s="17">
        <f>G254/M254</f>
        <v>0</v>
      </c>
      <c r="G254" s="17">
        <v>0</v>
      </c>
      <c r="H254" s="4">
        <f t="shared" si="35"/>
        <v>0</v>
      </c>
      <c r="I254" s="4">
        <v>0</v>
      </c>
      <c r="J254" s="4">
        <v>0</v>
      </c>
      <c r="K254" s="4">
        <v>0</v>
      </c>
      <c r="L254" s="4">
        <v>0</v>
      </c>
      <c r="M254" s="20">
        <v>6.3597829679999993</v>
      </c>
      <c r="N254" s="31">
        <f>H254/M254</f>
        <v>0</v>
      </c>
    </row>
    <row r="255" spans="1:22" s="12" customFormat="1">
      <c r="A255" s="143"/>
      <c r="B255" s="19" t="s">
        <v>28</v>
      </c>
      <c r="C255" s="113" t="s">
        <v>34</v>
      </c>
      <c r="D255" s="113" t="s">
        <v>34</v>
      </c>
      <c r="E255" s="17" t="s">
        <v>34</v>
      </c>
      <c r="F255" s="17">
        <f>G255/M255</f>
        <v>0</v>
      </c>
      <c r="G255" s="17">
        <v>0</v>
      </c>
      <c r="H255" s="4">
        <f t="shared" si="35"/>
        <v>0</v>
      </c>
      <c r="I255" s="4">
        <v>0</v>
      </c>
      <c r="J255" s="4">
        <v>0</v>
      </c>
      <c r="K255" s="4">
        <v>0</v>
      </c>
      <c r="L255" s="4">
        <v>0</v>
      </c>
      <c r="M255" s="21">
        <v>6.7032112482719999</v>
      </c>
      <c r="N255" s="31">
        <f>H255/M255</f>
        <v>0</v>
      </c>
    </row>
    <row r="256" spans="1:22" s="12" customFormat="1">
      <c r="A256" s="143"/>
      <c r="B256" s="19" t="s">
        <v>29</v>
      </c>
      <c r="C256" s="113" t="s">
        <v>34</v>
      </c>
      <c r="D256" s="113" t="s">
        <v>34</v>
      </c>
      <c r="E256" s="17" t="s">
        <v>34</v>
      </c>
      <c r="F256" s="17">
        <f>E252</f>
        <v>13953.66</v>
      </c>
      <c r="G256" s="17">
        <f>83337.318+2333.6</f>
        <v>85670.918000000005</v>
      </c>
      <c r="H256" s="4">
        <f t="shared" si="35"/>
        <v>3041.4879999999998</v>
      </c>
      <c r="I256" s="4">
        <v>0</v>
      </c>
      <c r="J256" s="4">
        <v>0</v>
      </c>
      <c r="K256" s="4">
        <v>3041.4879999999998</v>
      </c>
      <c r="L256" s="4">
        <v>0</v>
      </c>
      <c r="M256" s="21">
        <v>7.0651846556786886</v>
      </c>
      <c r="N256" s="31">
        <f>H256/M256</f>
        <v>430.48952691638198</v>
      </c>
    </row>
    <row r="257" spans="1:22" s="12" customFormat="1">
      <c r="A257" s="143"/>
      <c r="B257" s="19" t="s">
        <v>30</v>
      </c>
      <c r="C257" s="113" t="s">
        <v>34</v>
      </c>
      <c r="D257" s="113" t="s">
        <v>34</v>
      </c>
      <c r="E257" s="17" t="s">
        <v>34</v>
      </c>
      <c r="F257" s="17">
        <f>G257/M257</f>
        <v>11096.106820117211</v>
      </c>
      <c r="G257" s="17">
        <f>G256-H256</f>
        <v>82629.430000000008</v>
      </c>
      <c r="H257" s="4">
        <f t="shared" si="35"/>
        <v>1204.48729</v>
      </c>
      <c r="I257" s="4">
        <v>0</v>
      </c>
      <c r="J257" s="4">
        <v>0</v>
      </c>
      <c r="K257" s="4">
        <v>1204.48729</v>
      </c>
      <c r="L257" s="4">
        <v>0</v>
      </c>
      <c r="M257" s="21">
        <v>7.4467046270853379</v>
      </c>
      <c r="N257" s="31">
        <f>H257/M257</f>
        <v>161.74769247849702</v>
      </c>
    </row>
    <row r="258" spans="1:22" s="12" customFormat="1">
      <c r="A258" s="143"/>
      <c r="B258" s="19" t="s">
        <v>243</v>
      </c>
      <c r="C258" s="113" t="s">
        <v>34</v>
      </c>
      <c r="D258" s="113" t="s">
        <v>34</v>
      </c>
      <c r="E258" s="17" t="s">
        <v>34</v>
      </c>
      <c r="F258" s="17">
        <f t="shared" ref="F258:F259" si="37">G258/M258</f>
        <v>10934.359127638712</v>
      </c>
      <c r="G258" s="17">
        <f>G257-H257</f>
        <v>81424.942710000003</v>
      </c>
      <c r="H258" s="4">
        <f t="shared" si="35"/>
        <v>36424.913399999998</v>
      </c>
      <c r="I258" s="4">
        <v>0</v>
      </c>
      <c r="J258" s="4">
        <v>0</v>
      </c>
      <c r="K258" s="4">
        <v>36424.913399999998</v>
      </c>
      <c r="L258" s="4">
        <v>0</v>
      </c>
      <c r="M258" s="21">
        <v>7.4467046270853379</v>
      </c>
      <c r="N258" s="31">
        <f t="shared" ref="N258" si="38">H258/M258</f>
        <v>4891.4137493132739</v>
      </c>
    </row>
    <row r="259" spans="1:22" s="12" customFormat="1">
      <c r="A259" s="144"/>
      <c r="B259" s="19" t="s">
        <v>244</v>
      </c>
      <c r="C259" s="113" t="s">
        <v>34</v>
      </c>
      <c r="D259" s="113" t="s">
        <v>34</v>
      </c>
      <c r="E259" s="17" t="s">
        <v>34</v>
      </c>
      <c r="F259" s="17">
        <f t="shared" si="37"/>
        <v>6042.9453783254394</v>
      </c>
      <c r="G259" s="17">
        <f t="shared" ref="G259" si="39">G258-H258</f>
        <v>45000.029310000005</v>
      </c>
      <c r="H259" s="4">
        <f t="shared" si="35"/>
        <v>45000</v>
      </c>
      <c r="I259" s="4">
        <v>0</v>
      </c>
      <c r="J259" s="4">
        <v>0</v>
      </c>
      <c r="K259" s="4">
        <v>45000</v>
      </c>
      <c r="L259" s="4">
        <v>0</v>
      </c>
      <c r="M259" s="21">
        <v>7.4467046270853379</v>
      </c>
      <c r="N259" s="31">
        <f>H259/M259</f>
        <v>6042.9414423562457</v>
      </c>
    </row>
    <row r="260" spans="1:22" s="6" customFormat="1" ht="57.75" customHeight="1">
      <c r="A260" s="142" t="s">
        <v>89</v>
      </c>
      <c r="B260" s="116" t="s">
        <v>90</v>
      </c>
      <c r="C260" s="46" t="s">
        <v>91</v>
      </c>
      <c r="D260" s="8" t="s">
        <v>93</v>
      </c>
      <c r="E260" s="17">
        <v>3753.3</v>
      </c>
      <c r="F260" s="15" t="s">
        <v>14</v>
      </c>
      <c r="G260" s="15" t="s">
        <v>14</v>
      </c>
      <c r="H260" s="4">
        <f t="shared" si="35"/>
        <v>13767.2</v>
      </c>
      <c r="I260" s="4">
        <f>SUM(I261:I265)</f>
        <v>0</v>
      </c>
      <c r="J260" s="4">
        <f>SUM(J261:J265)</f>
        <v>0</v>
      </c>
      <c r="K260" s="4">
        <f>SUM(K261:K265)</f>
        <v>13767.2</v>
      </c>
      <c r="L260" s="4">
        <f>SUM(L261:L265)</f>
        <v>0</v>
      </c>
      <c r="M260" s="20"/>
      <c r="N260" s="30">
        <f>SUM(N261:N265)</f>
        <v>1962.1042443466529</v>
      </c>
      <c r="U260" s="68"/>
      <c r="V260" s="30">
        <f>V261+V262+V263+V264+V265</f>
        <v>3753.2753782141826</v>
      </c>
    </row>
    <row r="261" spans="1:22" s="6" customFormat="1">
      <c r="A261" s="143"/>
      <c r="B261" s="19" t="s">
        <v>2</v>
      </c>
      <c r="C261" s="15" t="s">
        <v>14</v>
      </c>
      <c r="D261" s="59" t="s">
        <v>14</v>
      </c>
      <c r="E261" s="15" t="s">
        <v>14</v>
      </c>
      <c r="F261" s="17">
        <f>G261/M261</f>
        <v>0</v>
      </c>
      <c r="G261" s="17">
        <v>0</v>
      </c>
      <c r="H261" s="4">
        <f t="shared" si="35"/>
        <v>0</v>
      </c>
      <c r="I261" s="103">
        <v>0</v>
      </c>
      <c r="J261" s="103">
        <v>0</v>
      </c>
      <c r="K261" s="103">
        <v>0</v>
      </c>
      <c r="L261" s="103">
        <v>0</v>
      </c>
      <c r="M261" s="20">
        <v>6.0168239999999997</v>
      </c>
      <c r="N261" s="31">
        <f>H261/M261</f>
        <v>0</v>
      </c>
      <c r="U261" s="68">
        <v>5.4316964175493201</v>
      </c>
      <c r="V261" s="31">
        <f>G261/U261</f>
        <v>0</v>
      </c>
    </row>
    <row r="262" spans="1:22" s="6" customFormat="1">
      <c r="A262" s="143"/>
      <c r="B262" s="19" t="s">
        <v>0</v>
      </c>
      <c r="C262" s="15" t="s">
        <v>14</v>
      </c>
      <c r="D262" s="59" t="s">
        <v>14</v>
      </c>
      <c r="E262" s="15" t="s">
        <v>14</v>
      </c>
      <c r="F262" s="17">
        <f>G262/M262</f>
        <v>0</v>
      </c>
      <c r="G262" s="17">
        <v>0</v>
      </c>
      <c r="H262" s="4">
        <f t="shared" si="35"/>
        <v>0</v>
      </c>
      <c r="I262" s="103">
        <v>0</v>
      </c>
      <c r="J262" s="103">
        <v>0</v>
      </c>
      <c r="K262" s="103">
        <v>0</v>
      </c>
      <c r="L262" s="103">
        <v>0</v>
      </c>
      <c r="M262" s="20">
        <v>6.3597829679999993</v>
      </c>
      <c r="N262" s="31">
        <f>H262/M262</f>
        <v>0</v>
      </c>
      <c r="U262" s="68">
        <v>6.24</v>
      </c>
      <c r="V262" s="31">
        <f>G262/U262</f>
        <v>0</v>
      </c>
    </row>
    <row r="263" spans="1:22" s="12" customFormat="1">
      <c r="A263" s="143"/>
      <c r="B263" s="19" t="s">
        <v>28</v>
      </c>
      <c r="C263" s="9" t="s">
        <v>34</v>
      </c>
      <c r="D263" s="9" t="s">
        <v>34</v>
      </c>
      <c r="E263" s="9" t="s">
        <v>34</v>
      </c>
      <c r="F263" s="17">
        <f>G263/M263</f>
        <v>2053.8215923821595</v>
      </c>
      <c r="G263" s="17">
        <f>H260</f>
        <v>13767.2</v>
      </c>
      <c r="H263" s="4">
        <f t="shared" si="35"/>
        <v>1767.2</v>
      </c>
      <c r="I263" s="103">
        <v>0</v>
      </c>
      <c r="J263" s="103">
        <v>0</v>
      </c>
      <c r="K263" s="103">
        <v>1767.2</v>
      </c>
      <c r="L263" s="103">
        <v>0</v>
      </c>
      <c r="M263" s="21">
        <v>6.7032112482719999</v>
      </c>
      <c r="N263" s="31">
        <f>H263/M263</f>
        <v>263.63483628172406</v>
      </c>
      <c r="U263" s="72">
        <v>6.7</v>
      </c>
      <c r="V263" s="31">
        <f>G263/U263</f>
        <v>2054.8059701492539</v>
      </c>
    </row>
    <row r="264" spans="1:22" s="12" customFormat="1">
      <c r="A264" s="143"/>
      <c r="B264" s="19" t="s">
        <v>29</v>
      </c>
      <c r="C264" s="9" t="s">
        <v>34</v>
      </c>
      <c r="D264" s="9" t="s">
        <v>34</v>
      </c>
      <c r="E264" s="9" t="s">
        <v>34</v>
      </c>
      <c r="F264" s="17">
        <f>G264/M264</f>
        <v>1698.4694080649288</v>
      </c>
      <c r="G264" s="17">
        <f>G263-H263</f>
        <v>12000</v>
      </c>
      <c r="H264" s="4">
        <f t="shared" si="35"/>
        <v>12000</v>
      </c>
      <c r="I264" s="103">
        <v>0</v>
      </c>
      <c r="J264" s="103">
        <v>0</v>
      </c>
      <c r="K264" s="103">
        <v>12000</v>
      </c>
      <c r="L264" s="103">
        <v>0</v>
      </c>
      <c r="M264" s="21">
        <v>7.0651846556786886</v>
      </c>
      <c r="N264" s="31">
        <f>H264/M264</f>
        <v>1698.4694080649288</v>
      </c>
      <c r="U264" s="72">
        <v>7.0651846556786886</v>
      </c>
      <c r="V264" s="31">
        <f>G264/U264</f>
        <v>1698.4694080649288</v>
      </c>
    </row>
    <row r="265" spans="1:22" s="12" customFormat="1">
      <c r="A265" s="144"/>
      <c r="B265" s="19" t="s">
        <v>30</v>
      </c>
      <c r="C265" s="9" t="s">
        <v>34</v>
      </c>
      <c r="D265" s="9" t="s">
        <v>34</v>
      </c>
      <c r="E265" s="9" t="s">
        <v>34</v>
      </c>
      <c r="F265" s="17">
        <f>G265/M265</f>
        <v>0</v>
      </c>
      <c r="G265" s="17">
        <f>G264-H264</f>
        <v>0</v>
      </c>
      <c r="H265" s="4">
        <f t="shared" si="35"/>
        <v>0</v>
      </c>
      <c r="I265" s="103">
        <v>0</v>
      </c>
      <c r="J265" s="103">
        <v>0</v>
      </c>
      <c r="K265" s="103">
        <v>0</v>
      </c>
      <c r="L265" s="103">
        <v>0</v>
      </c>
      <c r="M265" s="21">
        <v>7.4467046270853379</v>
      </c>
      <c r="N265" s="31">
        <f>H265/M265</f>
        <v>0</v>
      </c>
      <c r="U265" s="72">
        <v>7.4467046270853379</v>
      </c>
      <c r="V265" s="31">
        <f>G265/U265</f>
        <v>0</v>
      </c>
    </row>
    <row r="266" spans="1:22" s="6" customFormat="1" ht="76.5" customHeight="1">
      <c r="A266" s="142" t="s">
        <v>161</v>
      </c>
      <c r="B266" s="19" t="s">
        <v>163</v>
      </c>
      <c r="C266" s="46" t="s">
        <v>164</v>
      </c>
      <c r="D266" s="9">
        <v>2013</v>
      </c>
      <c r="E266" s="17">
        <f>F269</f>
        <v>253.73134328358208</v>
      </c>
      <c r="F266" s="15" t="s">
        <v>14</v>
      </c>
      <c r="G266" s="15" t="s">
        <v>14</v>
      </c>
      <c r="H266" s="4">
        <f t="shared" si="35"/>
        <v>1700</v>
      </c>
      <c r="I266" s="4">
        <f>SUM(I267:I271)</f>
        <v>1700</v>
      </c>
      <c r="J266" s="4">
        <f>SUM(J267:J271)</f>
        <v>0</v>
      </c>
      <c r="K266" s="4">
        <f>SUM(K267:K271)</f>
        <v>0</v>
      </c>
      <c r="L266" s="4">
        <f>SUM(L267:L271)</f>
        <v>0</v>
      </c>
      <c r="M266" s="20"/>
      <c r="N266" s="30">
        <f>SUM(N267:N271)</f>
        <v>253.60979044756164</v>
      </c>
      <c r="U266" s="68"/>
      <c r="V266" s="30">
        <f>V267+V268+V269+V270+V271</f>
        <v>253.73134328358208</v>
      </c>
    </row>
    <row r="267" spans="1:22" s="6" customFormat="1">
      <c r="A267" s="143"/>
      <c r="B267" s="26" t="s">
        <v>2</v>
      </c>
      <c r="C267" s="15" t="s">
        <v>14</v>
      </c>
      <c r="D267" s="59" t="s">
        <v>14</v>
      </c>
      <c r="E267" s="15" t="s">
        <v>14</v>
      </c>
      <c r="F267" s="17">
        <f>G267/M267</f>
        <v>0</v>
      </c>
      <c r="G267" s="17">
        <v>0</v>
      </c>
      <c r="H267" s="4">
        <f t="shared" si="35"/>
        <v>0</v>
      </c>
      <c r="I267" s="103">
        <v>0</v>
      </c>
      <c r="J267" s="103">
        <v>0</v>
      </c>
      <c r="K267" s="103">
        <v>0</v>
      </c>
      <c r="L267" s="103">
        <v>0</v>
      </c>
      <c r="M267" s="20">
        <v>6.0168239999999997</v>
      </c>
      <c r="N267" s="31">
        <f>H267/M267</f>
        <v>0</v>
      </c>
      <c r="U267" s="68">
        <v>5.4316964175493201</v>
      </c>
      <c r="V267" s="31">
        <f>G267/U267</f>
        <v>0</v>
      </c>
    </row>
    <row r="268" spans="1:22" s="6" customFormat="1">
      <c r="A268" s="143"/>
      <c r="B268" s="26" t="s">
        <v>0</v>
      </c>
      <c r="C268" s="15" t="s">
        <v>14</v>
      </c>
      <c r="D268" s="59" t="s">
        <v>14</v>
      </c>
      <c r="E268" s="15" t="s">
        <v>14</v>
      </c>
      <c r="F268" s="17">
        <f>G268/M268</f>
        <v>0</v>
      </c>
      <c r="G268" s="17">
        <v>0</v>
      </c>
      <c r="H268" s="4">
        <f t="shared" si="35"/>
        <v>0</v>
      </c>
      <c r="I268" s="103">
        <v>0</v>
      </c>
      <c r="J268" s="103">
        <v>0</v>
      </c>
      <c r="K268" s="103">
        <v>0</v>
      </c>
      <c r="L268" s="103">
        <v>0</v>
      </c>
      <c r="M268" s="20">
        <v>6.3597829679999993</v>
      </c>
      <c r="N268" s="31">
        <f>H268/M268</f>
        <v>0</v>
      </c>
      <c r="U268" s="68">
        <v>6.24</v>
      </c>
      <c r="V268" s="31">
        <f>G268/U268</f>
        <v>0</v>
      </c>
    </row>
    <row r="269" spans="1:22" s="12" customFormat="1">
      <c r="A269" s="143"/>
      <c r="B269" s="26" t="s">
        <v>28</v>
      </c>
      <c r="C269" s="9" t="s">
        <v>34</v>
      </c>
      <c r="D269" s="9" t="s">
        <v>34</v>
      </c>
      <c r="E269" s="9" t="s">
        <v>34</v>
      </c>
      <c r="F269" s="17">
        <f>V269</f>
        <v>253.73134328358208</v>
      </c>
      <c r="G269" s="17">
        <f>H266</f>
        <v>1700</v>
      </c>
      <c r="H269" s="4">
        <f t="shared" si="35"/>
        <v>1700</v>
      </c>
      <c r="I269" s="103">
        <v>1700</v>
      </c>
      <c r="J269" s="103">
        <v>0</v>
      </c>
      <c r="K269" s="103">
        <v>0</v>
      </c>
      <c r="L269" s="103">
        <v>0</v>
      </c>
      <c r="M269" s="21">
        <v>6.7032112482719999</v>
      </c>
      <c r="N269" s="31">
        <f>H269/M269</f>
        <v>253.60979044756164</v>
      </c>
      <c r="U269" s="72">
        <v>6.7</v>
      </c>
      <c r="V269" s="31">
        <f>G269/U269</f>
        <v>253.73134328358208</v>
      </c>
    </row>
    <row r="270" spans="1:22" s="12" customFormat="1">
      <c r="A270" s="143"/>
      <c r="B270" s="26" t="s">
        <v>29</v>
      </c>
      <c r="C270" s="9" t="s">
        <v>34</v>
      </c>
      <c r="D270" s="9" t="s">
        <v>34</v>
      </c>
      <c r="E270" s="9" t="s">
        <v>34</v>
      </c>
      <c r="F270" s="17">
        <f>G270/M270</f>
        <v>0</v>
      </c>
      <c r="G270" s="17">
        <f>G269-H269</f>
        <v>0</v>
      </c>
      <c r="H270" s="4">
        <f t="shared" si="35"/>
        <v>0</v>
      </c>
      <c r="I270" s="103">
        <v>0</v>
      </c>
      <c r="J270" s="103">
        <v>0</v>
      </c>
      <c r="K270" s="103">
        <v>0</v>
      </c>
      <c r="L270" s="103">
        <v>0</v>
      </c>
      <c r="M270" s="21">
        <v>7.0651846556786886</v>
      </c>
      <c r="N270" s="31">
        <f>H270/M270</f>
        <v>0</v>
      </c>
      <c r="U270" s="72">
        <v>7.0651846556786886</v>
      </c>
      <c r="V270" s="31">
        <f>G270/U270</f>
        <v>0</v>
      </c>
    </row>
    <row r="271" spans="1:22" s="12" customFormat="1">
      <c r="A271" s="144"/>
      <c r="B271" s="26" t="s">
        <v>30</v>
      </c>
      <c r="C271" s="9" t="s">
        <v>34</v>
      </c>
      <c r="D271" s="9" t="s">
        <v>34</v>
      </c>
      <c r="E271" s="9" t="s">
        <v>34</v>
      </c>
      <c r="F271" s="17">
        <f>G271/M271</f>
        <v>0</v>
      </c>
      <c r="G271" s="17">
        <f>G270-H270</f>
        <v>0</v>
      </c>
      <c r="H271" s="4">
        <f t="shared" si="35"/>
        <v>0</v>
      </c>
      <c r="I271" s="103">
        <v>0</v>
      </c>
      <c r="J271" s="103">
        <v>0</v>
      </c>
      <c r="K271" s="103">
        <v>0</v>
      </c>
      <c r="L271" s="103">
        <v>0</v>
      </c>
      <c r="M271" s="21">
        <v>7.4467046270853379</v>
      </c>
      <c r="N271" s="31">
        <f>H271/M271</f>
        <v>0</v>
      </c>
      <c r="U271" s="72">
        <v>7.4467046270853379</v>
      </c>
      <c r="V271" s="31">
        <f>G271/U271</f>
        <v>0</v>
      </c>
    </row>
    <row r="272" spans="1:22" s="6" customFormat="1" ht="41.25" customHeight="1">
      <c r="A272" s="142" t="s">
        <v>162</v>
      </c>
      <c r="B272" s="14" t="s">
        <v>238</v>
      </c>
      <c r="C272" s="46" t="s">
        <v>15</v>
      </c>
      <c r="D272" s="9" t="s">
        <v>92</v>
      </c>
      <c r="E272" s="17">
        <f>V272</f>
        <v>5208.6669406064957</v>
      </c>
      <c r="F272" s="15" t="s">
        <v>14</v>
      </c>
      <c r="G272" s="15" t="s">
        <v>14</v>
      </c>
      <c r="H272" s="4">
        <f t="shared" si="35"/>
        <v>11445.95</v>
      </c>
      <c r="I272" s="4">
        <f>SUM(I273:I277)</f>
        <v>10000</v>
      </c>
      <c r="J272" s="4">
        <f>SUM(J273:J277)</f>
        <v>0</v>
      </c>
      <c r="K272" s="4">
        <f>SUM(K273:K277)</f>
        <v>1445.95</v>
      </c>
      <c r="L272" s="4">
        <f>SUM(L273:L277)</f>
        <v>0</v>
      </c>
      <c r="M272" s="20"/>
      <c r="N272" s="30">
        <f>SUM(N273:N277)</f>
        <v>1731.7869870045536</v>
      </c>
      <c r="U272" s="68"/>
      <c r="V272" s="30">
        <f>V273+V274+V275+V276+V277</f>
        <v>5208.6669406064957</v>
      </c>
    </row>
    <row r="273" spans="1:22" s="6" customFormat="1">
      <c r="A273" s="143"/>
      <c r="B273" s="19" t="s">
        <v>2</v>
      </c>
      <c r="C273" s="15" t="s">
        <v>14</v>
      </c>
      <c r="D273" s="59" t="s">
        <v>14</v>
      </c>
      <c r="E273" s="15" t="s">
        <v>14</v>
      </c>
      <c r="F273" s="17">
        <f>V273</f>
        <v>2107.2514220454536</v>
      </c>
      <c r="G273" s="17">
        <f>H272</f>
        <v>11445.95</v>
      </c>
      <c r="H273" s="4">
        <f t="shared" si="35"/>
        <v>1406.55</v>
      </c>
      <c r="I273" s="103">
        <v>0</v>
      </c>
      <c r="J273" s="103">
        <v>0</v>
      </c>
      <c r="K273" s="103">
        <v>1406.55</v>
      </c>
      <c r="L273" s="103">
        <v>0</v>
      </c>
      <c r="M273" s="20">
        <v>6.0168239999999997</v>
      </c>
      <c r="N273" s="31">
        <f>H273/M273</f>
        <v>233.76951029313804</v>
      </c>
      <c r="U273" s="68">
        <v>5.4316964175493201</v>
      </c>
      <c r="V273" s="31">
        <f>G273/U273</f>
        <v>2107.2514220454536</v>
      </c>
    </row>
    <row r="274" spans="1:22" s="6" customFormat="1">
      <c r="A274" s="143"/>
      <c r="B274" s="19" t="s">
        <v>0</v>
      </c>
      <c r="C274" s="15" t="s">
        <v>14</v>
      </c>
      <c r="D274" s="59" t="s">
        <v>14</v>
      </c>
      <c r="E274" s="15" t="s">
        <v>14</v>
      </c>
      <c r="F274" s="17">
        <f>V274</f>
        <v>1608.8782051282053</v>
      </c>
      <c r="G274" s="17">
        <f>G273-H273</f>
        <v>10039.400000000001</v>
      </c>
      <c r="H274" s="4">
        <f t="shared" si="35"/>
        <v>39.4</v>
      </c>
      <c r="I274" s="103">
        <v>0</v>
      </c>
      <c r="J274" s="103">
        <v>0</v>
      </c>
      <c r="K274" s="103">
        <v>39.4</v>
      </c>
      <c r="L274" s="103">
        <v>0</v>
      </c>
      <c r="M274" s="20">
        <v>6.3597829679999993</v>
      </c>
      <c r="N274" s="31">
        <f>H274/M274</f>
        <v>6.1951799610530358</v>
      </c>
      <c r="U274" s="68">
        <v>6.24</v>
      </c>
      <c r="V274" s="31">
        <f>G274/U274</f>
        <v>1608.8782051282053</v>
      </c>
    </row>
    <row r="275" spans="1:22" s="12" customFormat="1">
      <c r="A275" s="143"/>
      <c r="B275" s="19" t="s">
        <v>28</v>
      </c>
      <c r="C275" s="9" t="s">
        <v>34</v>
      </c>
      <c r="D275" s="9" t="s">
        <v>34</v>
      </c>
      <c r="E275" s="9" t="s">
        <v>34</v>
      </c>
      <c r="F275" s="17">
        <f>V275</f>
        <v>1492.5373134328361</v>
      </c>
      <c r="G275" s="17">
        <f>G274-H274</f>
        <v>10000.000000000002</v>
      </c>
      <c r="H275" s="4">
        <f t="shared" si="35"/>
        <v>10000</v>
      </c>
      <c r="I275" s="103">
        <v>10000</v>
      </c>
      <c r="J275" s="103">
        <v>0</v>
      </c>
      <c r="K275" s="103">
        <v>0</v>
      </c>
      <c r="L275" s="103">
        <v>0</v>
      </c>
      <c r="M275" s="21">
        <v>6.7032112482719999</v>
      </c>
      <c r="N275" s="31">
        <f>H275/M275</f>
        <v>1491.8222967503625</v>
      </c>
      <c r="U275" s="72">
        <v>6.7</v>
      </c>
      <c r="V275" s="31">
        <f>G275/U275</f>
        <v>1492.5373134328361</v>
      </c>
    </row>
    <row r="276" spans="1:22" s="12" customFormat="1">
      <c r="A276" s="143"/>
      <c r="B276" s="19" t="s">
        <v>29</v>
      </c>
      <c r="C276" s="9" t="s">
        <v>34</v>
      </c>
      <c r="D276" s="9" t="s">
        <v>34</v>
      </c>
      <c r="E276" s="9" t="s">
        <v>34</v>
      </c>
      <c r="F276" s="17">
        <f>V276</f>
        <v>0</v>
      </c>
      <c r="G276" s="17">
        <f>G275-H275</f>
        <v>0</v>
      </c>
      <c r="H276" s="4">
        <f t="shared" si="35"/>
        <v>0</v>
      </c>
      <c r="I276" s="103">
        <v>0</v>
      </c>
      <c r="J276" s="103">
        <v>0</v>
      </c>
      <c r="K276" s="103">
        <v>0</v>
      </c>
      <c r="L276" s="103">
        <v>0</v>
      </c>
      <c r="M276" s="21">
        <v>7.0651846556786886</v>
      </c>
      <c r="N276" s="31">
        <f>H276/M276</f>
        <v>0</v>
      </c>
      <c r="U276" s="72">
        <v>7.0651846556786886</v>
      </c>
      <c r="V276" s="31">
        <f>G276/U276</f>
        <v>0</v>
      </c>
    </row>
    <row r="277" spans="1:22" s="12" customFormat="1">
      <c r="A277" s="144"/>
      <c r="B277" s="19" t="s">
        <v>30</v>
      </c>
      <c r="C277" s="9" t="s">
        <v>34</v>
      </c>
      <c r="D277" s="9" t="s">
        <v>34</v>
      </c>
      <c r="E277" s="9" t="s">
        <v>34</v>
      </c>
      <c r="F277" s="17">
        <f>V277</f>
        <v>0</v>
      </c>
      <c r="G277" s="17">
        <f>G276-H276</f>
        <v>0</v>
      </c>
      <c r="H277" s="4">
        <f t="shared" si="35"/>
        <v>0</v>
      </c>
      <c r="I277" s="103">
        <v>0</v>
      </c>
      <c r="J277" s="103">
        <v>0</v>
      </c>
      <c r="K277" s="103">
        <v>0</v>
      </c>
      <c r="L277" s="103">
        <v>0</v>
      </c>
      <c r="M277" s="21">
        <v>7.4467046270853379</v>
      </c>
      <c r="N277" s="31">
        <f>H277/M277</f>
        <v>0</v>
      </c>
      <c r="U277" s="72">
        <v>7.4467046270853379</v>
      </c>
      <c r="V277" s="31">
        <f>G277/U277</f>
        <v>0</v>
      </c>
    </row>
    <row r="278" spans="1:22" s="38" customFormat="1" ht="96" customHeight="1">
      <c r="A278" s="133" t="s">
        <v>202</v>
      </c>
      <c r="B278" s="39" t="s">
        <v>234</v>
      </c>
      <c r="C278" s="51" t="s">
        <v>14</v>
      </c>
      <c r="D278" s="51" t="s">
        <v>95</v>
      </c>
      <c r="E278" s="64" t="s">
        <v>14</v>
      </c>
      <c r="F278" s="64" t="s">
        <v>14</v>
      </c>
      <c r="G278" s="64" t="s">
        <v>14</v>
      </c>
      <c r="H278" s="64">
        <f t="shared" ref="G278:L279" si="40">H284+H290+H296+H302+H308</f>
        <v>301502.32738000003</v>
      </c>
      <c r="I278" s="64">
        <f t="shared" si="40"/>
        <v>32945.160000000003</v>
      </c>
      <c r="J278" s="64">
        <f t="shared" si="40"/>
        <v>0</v>
      </c>
      <c r="K278" s="64">
        <f t="shared" si="40"/>
        <v>268557.16738</v>
      </c>
      <c r="L278" s="64">
        <f t="shared" si="40"/>
        <v>0</v>
      </c>
      <c r="M278" s="54"/>
      <c r="N278" s="55">
        <f>SUM(N279:N283)</f>
        <v>44413.451931703887</v>
      </c>
    </row>
    <row r="279" spans="1:22" s="38" customFormat="1">
      <c r="A279" s="134"/>
      <c r="B279" s="39" t="s">
        <v>2</v>
      </c>
      <c r="C279" s="51" t="s">
        <v>14</v>
      </c>
      <c r="D279" s="51" t="s">
        <v>14</v>
      </c>
      <c r="E279" s="64" t="s">
        <v>14</v>
      </c>
      <c r="F279" s="64">
        <f>F285+F291+F297+F303+F309</f>
        <v>5658.32738335042</v>
      </c>
      <c r="G279" s="64">
        <f t="shared" si="40"/>
        <v>34045.160000000003</v>
      </c>
      <c r="H279" s="64">
        <f t="shared" si="40"/>
        <v>33042.26</v>
      </c>
      <c r="I279" s="64">
        <f t="shared" si="40"/>
        <v>32945.160000000003</v>
      </c>
      <c r="J279" s="64">
        <f t="shared" si="40"/>
        <v>0</v>
      </c>
      <c r="K279" s="64">
        <f t="shared" si="40"/>
        <v>97.1</v>
      </c>
      <c r="L279" s="64">
        <f t="shared" si="40"/>
        <v>0</v>
      </c>
      <c r="M279" s="54">
        <v>6.0168239999999997</v>
      </c>
      <c r="N279" s="57">
        <f>H279/M279</f>
        <v>5491.6447614223061</v>
      </c>
    </row>
    <row r="280" spans="1:22" s="38" customFormat="1">
      <c r="A280" s="134"/>
      <c r="B280" s="39" t="s">
        <v>0</v>
      </c>
      <c r="C280" s="51" t="s">
        <v>14</v>
      </c>
      <c r="D280" s="51" t="s">
        <v>14</v>
      </c>
      <c r="E280" s="64" t="s">
        <v>14</v>
      </c>
      <c r="F280" s="64">
        <f t="shared" ref="F280:L283" si="41">F286+F292+F298+F304+F310</f>
        <v>138026.74187708524</v>
      </c>
      <c r="G280" s="64">
        <f t="shared" si="41"/>
        <v>838817.29339000001</v>
      </c>
      <c r="H280" s="64">
        <f t="shared" si="41"/>
        <v>23476.227139999999</v>
      </c>
      <c r="I280" s="64">
        <f t="shared" si="41"/>
        <v>0</v>
      </c>
      <c r="J280" s="64">
        <f t="shared" si="41"/>
        <v>0</v>
      </c>
      <c r="K280" s="64">
        <f t="shared" si="41"/>
        <v>23476.227139999999</v>
      </c>
      <c r="L280" s="64">
        <f t="shared" si="41"/>
        <v>0</v>
      </c>
      <c r="M280" s="54">
        <v>6.3597829679999993</v>
      </c>
      <c r="N280" s="57">
        <f>H280/M280</f>
        <v>3691.3566481943512</v>
      </c>
    </row>
    <row r="281" spans="1:22" s="38" customFormat="1">
      <c r="A281" s="134"/>
      <c r="B281" s="39" t="s">
        <v>28</v>
      </c>
      <c r="C281" s="51" t="s">
        <v>14</v>
      </c>
      <c r="D281" s="51" t="s">
        <v>14</v>
      </c>
      <c r="E281" s="64" t="s">
        <v>14</v>
      </c>
      <c r="F281" s="64">
        <f t="shared" si="41"/>
        <v>162679.47741276218</v>
      </c>
      <c r="G281" s="64">
        <f t="shared" si="41"/>
        <v>1053628.9033900001</v>
      </c>
      <c r="H281" s="64">
        <f t="shared" si="41"/>
        <v>77353.168000000005</v>
      </c>
      <c r="I281" s="64">
        <f t="shared" si="41"/>
        <v>0</v>
      </c>
      <c r="J281" s="64">
        <f t="shared" si="41"/>
        <v>0</v>
      </c>
      <c r="K281" s="64">
        <f t="shared" si="41"/>
        <v>77353.168000000005</v>
      </c>
      <c r="L281" s="64">
        <f t="shared" si="41"/>
        <v>0</v>
      </c>
      <c r="M281" s="58">
        <v>6.7032112482719999</v>
      </c>
      <c r="N281" s="57">
        <f>H281/M281</f>
        <v>11539.718074667666</v>
      </c>
    </row>
    <row r="282" spans="1:22" s="38" customFormat="1">
      <c r="A282" s="134"/>
      <c r="B282" s="39" t="s">
        <v>29</v>
      </c>
      <c r="C282" s="51" t="s">
        <v>14</v>
      </c>
      <c r="D282" s="51" t="s">
        <v>14</v>
      </c>
      <c r="E282" s="64" t="s">
        <v>14</v>
      </c>
      <c r="F282" s="64">
        <f t="shared" si="41"/>
        <v>138181.20586633388</v>
      </c>
      <c r="G282" s="64">
        <f t="shared" si="41"/>
        <v>976275.73539000005</v>
      </c>
      <c r="H282" s="64">
        <f t="shared" si="41"/>
        <v>162726.19806</v>
      </c>
      <c r="I282" s="64">
        <f t="shared" si="41"/>
        <v>0</v>
      </c>
      <c r="J282" s="64">
        <f t="shared" si="41"/>
        <v>0</v>
      </c>
      <c r="K282" s="64">
        <f t="shared" si="41"/>
        <v>162726.19806</v>
      </c>
      <c r="L282" s="64">
        <f t="shared" si="41"/>
        <v>0</v>
      </c>
      <c r="M282" s="58">
        <v>7.0651846556786886</v>
      </c>
      <c r="N282" s="57">
        <f>H282/M282</f>
        <v>23032.122441302046</v>
      </c>
    </row>
    <row r="283" spans="1:22" s="38" customFormat="1">
      <c r="A283" s="134"/>
      <c r="B283" s="39" t="s">
        <v>30</v>
      </c>
      <c r="C283" s="51" t="s">
        <v>14</v>
      </c>
      <c r="D283" s="51" t="s">
        <v>14</v>
      </c>
      <c r="E283" s="64" t="s">
        <v>14</v>
      </c>
      <c r="F283" s="64">
        <f t="shared" si="41"/>
        <v>109249.60476758238</v>
      </c>
      <c r="G283" s="64">
        <f>G289+G295+G301+G307+G313</f>
        <v>813549.53733000008</v>
      </c>
      <c r="H283" s="64">
        <f>H289+H295+H301+H307+H313</f>
        <v>4904.4741800000002</v>
      </c>
      <c r="I283" s="64">
        <f t="shared" si="41"/>
        <v>0</v>
      </c>
      <c r="J283" s="64">
        <f t="shared" si="41"/>
        <v>0</v>
      </c>
      <c r="K283" s="64">
        <f t="shared" si="41"/>
        <v>4904.4741800000002</v>
      </c>
      <c r="L283" s="64">
        <f t="shared" si="41"/>
        <v>0</v>
      </c>
      <c r="M283" s="58">
        <v>7.4467046270853379</v>
      </c>
      <c r="N283" s="57">
        <f>H283/M283</f>
        <v>658.61000611751479</v>
      </c>
    </row>
    <row r="284" spans="1:22" s="7" customFormat="1" ht="37.5" customHeight="1">
      <c r="A284" s="142" t="s">
        <v>154</v>
      </c>
      <c r="B284" s="117" t="s">
        <v>94</v>
      </c>
      <c r="C284" s="46" t="s">
        <v>15</v>
      </c>
      <c r="D284" s="15" t="s">
        <v>107</v>
      </c>
      <c r="E284" s="16">
        <v>973.93066640789789</v>
      </c>
      <c r="F284" s="16" t="s">
        <v>14</v>
      </c>
      <c r="G284" s="16" t="s">
        <v>14</v>
      </c>
      <c r="H284" s="17">
        <f t="shared" ref="H284:H313" si="42">I284+J284+K284+L284</f>
        <v>6800</v>
      </c>
      <c r="I284" s="4">
        <f>SUM(I285:I289)</f>
        <v>0</v>
      </c>
      <c r="J284" s="4">
        <f>SUM(J285:J289)</f>
        <v>0</v>
      </c>
      <c r="K284" s="4">
        <f>SUM(K285:K289)</f>
        <v>6800</v>
      </c>
      <c r="L284" s="4">
        <f>SUM(L285:L289)</f>
        <v>0</v>
      </c>
      <c r="M284" s="20"/>
      <c r="N284" s="30">
        <f>SUM(N285:N289)</f>
        <v>973.93066640789789</v>
      </c>
    </row>
    <row r="285" spans="1:22" s="7" customFormat="1">
      <c r="A285" s="143"/>
      <c r="B285" s="19" t="s">
        <v>19</v>
      </c>
      <c r="C285" s="15" t="s">
        <v>14</v>
      </c>
      <c r="D285" s="15" t="s">
        <v>14</v>
      </c>
      <c r="E285" s="16" t="s">
        <v>14</v>
      </c>
      <c r="F285" s="17">
        <f>G285/M285</f>
        <v>0</v>
      </c>
      <c r="G285" s="17">
        <v>0</v>
      </c>
      <c r="H285" s="17">
        <f t="shared" si="42"/>
        <v>0</v>
      </c>
      <c r="I285" s="17">
        <v>0</v>
      </c>
      <c r="J285" s="17">
        <v>0</v>
      </c>
      <c r="K285" s="17">
        <v>0</v>
      </c>
      <c r="L285" s="17">
        <v>0</v>
      </c>
      <c r="M285" s="20">
        <v>6.0168239999999997</v>
      </c>
      <c r="N285" s="31">
        <f>H285/M285</f>
        <v>0</v>
      </c>
    </row>
    <row r="286" spans="1:22" s="7" customFormat="1">
      <c r="A286" s="143"/>
      <c r="B286" s="19" t="s">
        <v>20</v>
      </c>
      <c r="C286" s="15" t="s">
        <v>14</v>
      </c>
      <c r="D286" s="15" t="s">
        <v>14</v>
      </c>
      <c r="E286" s="16" t="s">
        <v>14</v>
      </c>
      <c r="F286" s="17">
        <f>G286/M286</f>
        <v>0</v>
      </c>
      <c r="G286" s="17">
        <v>0</v>
      </c>
      <c r="H286" s="17">
        <f t="shared" si="42"/>
        <v>0</v>
      </c>
      <c r="I286" s="17">
        <v>0</v>
      </c>
      <c r="J286" s="17">
        <v>0</v>
      </c>
      <c r="K286" s="17">
        <v>0</v>
      </c>
      <c r="L286" s="17">
        <v>0</v>
      </c>
      <c r="M286" s="20">
        <v>6.3597829679999993</v>
      </c>
      <c r="N286" s="31">
        <f>H286/M286</f>
        <v>0</v>
      </c>
    </row>
    <row r="287" spans="1:22" s="7" customFormat="1">
      <c r="A287" s="143"/>
      <c r="B287" s="19" t="s">
        <v>28</v>
      </c>
      <c r="C287" s="15" t="s">
        <v>14</v>
      </c>
      <c r="D287" s="15" t="s">
        <v>14</v>
      </c>
      <c r="E287" s="16" t="s">
        <v>14</v>
      </c>
      <c r="F287" s="17">
        <f>G287/M287</f>
        <v>1014.4391617902465</v>
      </c>
      <c r="G287" s="17">
        <f>H284</f>
        <v>6800</v>
      </c>
      <c r="H287" s="17">
        <f t="shared" si="42"/>
        <v>1500</v>
      </c>
      <c r="I287" s="17">
        <v>0</v>
      </c>
      <c r="J287" s="17">
        <v>0</v>
      </c>
      <c r="K287" s="17">
        <v>1500</v>
      </c>
      <c r="L287" s="17">
        <v>0</v>
      </c>
      <c r="M287" s="21">
        <v>6.7032112482719999</v>
      </c>
      <c r="N287" s="31">
        <f>H287/M287</f>
        <v>223.77334451255439</v>
      </c>
    </row>
    <row r="288" spans="1:22" s="7" customFormat="1">
      <c r="A288" s="143"/>
      <c r="B288" s="19" t="s">
        <v>29</v>
      </c>
      <c r="C288" s="15" t="s">
        <v>14</v>
      </c>
      <c r="D288" s="15" t="s">
        <v>14</v>
      </c>
      <c r="E288" s="16" t="s">
        <v>14</v>
      </c>
      <c r="F288" s="17">
        <f>G288/M288</f>
        <v>750.15732189534356</v>
      </c>
      <c r="G288" s="17">
        <f>G287-H287</f>
        <v>5300</v>
      </c>
      <c r="H288" s="17">
        <f t="shared" si="42"/>
        <v>5300</v>
      </c>
      <c r="I288" s="17">
        <v>0</v>
      </c>
      <c r="J288" s="17">
        <v>0</v>
      </c>
      <c r="K288" s="17">
        <v>5300</v>
      </c>
      <c r="L288" s="17">
        <v>0</v>
      </c>
      <c r="M288" s="21">
        <v>7.0651846556786886</v>
      </c>
      <c r="N288" s="31">
        <f>H288/M288</f>
        <v>750.15732189534356</v>
      </c>
    </row>
    <row r="289" spans="1:14" s="7" customFormat="1">
      <c r="A289" s="144"/>
      <c r="B289" s="19" t="s">
        <v>30</v>
      </c>
      <c r="C289" s="15" t="s">
        <v>14</v>
      </c>
      <c r="D289" s="15" t="s">
        <v>14</v>
      </c>
      <c r="E289" s="16" t="s">
        <v>14</v>
      </c>
      <c r="F289" s="17">
        <f>G289/M289</f>
        <v>0</v>
      </c>
      <c r="G289" s="17">
        <f>G288-H288</f>
        <v>0</v>
      </c>
      <c r="H289" s="17">
        <f t="shared" si="42"/>
        <v>0</v>
      </c>
      <c r="I289" s="17">
        <v>0</v>
      </c>
      <c r="J289" s="17">
        <v>0</v>
      </c>
      <c r="K289" s="17">
        <v>0</v>
      </c>
      <c r="L289" s="17">
        <v>0</v>
      </c>
      <c r="M289" s="21">
        <v>7.4467046270853379</v>
      </c>
      <c r="N289" s="31">
        <f>H289/M289</f>
        <v>0</v>
      </c>
    </row>
    <row r="290" spans="1:14" s="7" customFormat="1" ht="36" customHeight="1">
      <c r="A290" s="142" t="s">
        <v>155</v>
      </c>
      <c r="B290" s="10" t="s">
        <v>203</v>
      </c>
      <c r="C290" s="46" t="s">
        <v>207</v>
      </c>
      <c r="D290" s="15" t="s">
        <v>107</v>
      </c>
      <c r="E290" s="16">
        <v>6602.3</v>
      </c>
      <c r="F290" s="16" t="s">
        <v>14</v>
      </c>
      <c r="G290" s="16" t="s">
        <v>14</v>
      </c>
      <c r="H290" s="17">
        <f t="shared" si="42"/>
        <v>36816.233390000001</v>
      </c>
      <c r="I290" s="17">
        <f>SUM(I291:I295)</f>
        <v>0</v>
      </c>
      <c r="J290" s="17">
        <f>SUM(J291:J295)</f>
        <v>0</v>
      </c>
      <c r="K290" s="17">
        <f>SUM(K291:K295)</f>
        <v>36816.233390000001</v>
      </c>
      <c r="L290" s="17">
        <f>SUM(L291:L295)</f>
        <v>0</v>
      </c>
      <c r="M290" s="20"/>
      <c r="N290" s="30">
        <f>SUM(N291:N295)</f>
        <v>5340.7523606154482</v>
      </c>
    </row>
    <row r="291" spans="1:14" s="7" customFormat="1">
      <c r="A291" s="143"/>
      <c r="B291" s="19" t="s">
        <v>19</v>
      </c>
      <c r="C291" s="15" t="s">
        <v>14</v>
      </c>
      <c r="D291" s="15" t="s">
        <v>14</v>
      </c>
      <c r="E291" s="16" t="s">
        <v>14</v>
      </c>
      <c r="F291" s="17">
        <f>G291/M291</f>
        <v>0</v>
      </c>
      <c r="G291" s="17">
        <v>0</v>
      </c>
      <c r="H291" s="17">
        <f t="shared" si="42"/>
        <v>0</v>
      </c>
      <c r="I291" s="17">
        <v>0</v>
      </c>
      <c r="J291" s="17">
        <v>0</v>
      </c>
      <c r="K291" s="17">
        <v>0</v>
      </c>
      <c r="L291" s="17">
        <v>0</v>
      </c>
      <c r="M291" s="20">
        <v>6.0168239999999997</v>
      </c>
      <c r="N291" s="31">
        <f>H291/M291</f>
        <v>0</v>
      </c>
    </row>
    <row r="292" spans="1:14" s="7" customFormat="1">
      <c r="A292" s="143"/>
      <c r="B292" s="19" t="s">
        <v>20</v>
      </c>
      <c r="C292" s="15" t="s">
        <v>14</v>
      </c>
      <c r="D292" s="15" t="s">
        <v>14</v>
      </c>
      <c r="E292" s="16" t="s">
        <v>14</v>
      </c>
      <c r="F292" s="17">
        <f>E290</f>
        <v>6602.3</v>
      </c>
      <c r="G292" s="17">
        <f>H290</f>
        <v>36816.233390000001</v>
      </c>
      <c r="H292" s="17">
        <f t="shared" si="42"/>
        <v>1180</v>
      </c>
      <c r="I292" s="17">
        <v>0</v>
      </c>
      <c r="J292" s="17">
        <v>0</v>
      </c>
      <c r="K292" s="25">
        <v>1180</v>
      </c>
      <c r="L292" s="17">
        <v>0</v>
      </c>
      <c r="M292" s="20">
        <v>6.3597829679999993</v>
      </c>
      <c r="N292" s="31">
        <f>H292/M292</f>
        <v>185.54092269143612</v>
      </c>
    </row>
    <row r="293" spans="1:14" s="7" customFormat="1">
      <c r="A293" s="143"/>
      <c r="B293" s="19" t="s">
        <v>28</v>
      </c>
      <c r="C293" s="15" t="s">
        <v>14</v>
      </c>
      <c r="D293" s="15" t="s">
        <v>14</v>
      </c>
      <c r="E293" s="16" t="s">
        <v>14</v>
      </c>
      <c r="F293" s="17">
        <f>G293/M293</f>
        <v>5316.2927543401765</v>
      </c>
      <c r="G293" s="17">
        <f>G292-H292</f>
        <v>35636.233390000001</v>
      </c>
      <c r="H293" s="17">
        <f t="shared" si="42"/>
        <v>14560.877</v>
      </c>
      <c r="I293" s="17">
        <v>0</v>
      </c>
      <c r="J293" s="17">
        <v>0</v>
      </c>
      <c r="K293" s="17">
        <v>14560.877</v>
      </c>
      <c r="L293" s="17">
        <v>0</v>
      </c>
      <c r="M293" s="21">
        <v>6.7032112482719999</v>
      </c>
      <c r="N293" s="31">
        <f>H293/M293</f>
        <v>2172.2240968839528</v>
      </c>
    </row>
    <row r="294" spans="1:14" s="7" customFormat="1">
      <c r="A294" s="143"/>
      <c r="B294" s="19" t="s">
        <v>29</v>
      </c>
      <c r="C294" s="15" t="s">
        <v>14</v>
      </c>
      <c r="D294" s="15" t="s">
        <v>14</v>
      </c>
      <c r="E294" s="16" t="s">
        <v>14</v>
      </c>
      <c r="F294" s="17">
        <f>G294/M294</f>
        <v>2982.9873410400596</v>
      </c>
      <c r="G294" s="17">
        <f>G293-H293</f>
        <v>21075.356390000001</v>
      </c>
      <c r="H294" s="17">
        <f t="shared" si="42"/>
        <v>21075.356390000001</v>
      </c>
      <c r="I294" s="17">
        <v>0</v>
      </c>
      <c r="J294" s="17">
        <v>0</v>
      </c>
      <c r="K294" s="17">
        <v>21075.356390000001</v>
      </c>
      <c r="L294" s="17">
        <v>0</v>
      </c>
      <c r="M294" s="21">
        <v>7.0651846556786886</v>
      </c>
      <c r="N294" s="31">
        <f>H294/M294</f>
        <v>2982.9873410400596</v>
      </c>
    </row>
    <row r="295" spans="1:14" s="7" customFormat="1">
      <c r="A295" s="144"/>
      <c r="B295" s="19" t="s">
        <v>30</v>
      </c>
      <c r="C295" s="15" t="s">
        <v>14</v>
      </c>
      <c r="D295" s="15" t="s">
        <v>14</v>
      </c>
      <c r="E295" s="16" t="s">
        <v>14</v>
      </c>
      <c r="F295" s="17">
        <f>G295/M295</f>
        <v>0</v>
      </c>
      <c r="G295" s="17">
        <f>G294-H294</f>
        <v>0</v>
      </c>
      <c r="H295" s="17">
        <f t="shared" si="42"/>
        <v>0</v>
      </c>
      <c r="I295" s="17">
        <f>I294*1.1</f>
        <v>0</v>
      </c>
      <c r="J295" s="17">
        <v>0</v>
      </c>
      <c r="K295" s="17">
        <v>0</v>
      </c>
      <c r="L295" s="17">
        <v>0</v>
      </c>
      <c r="M295" s="21">
        <v>7.4467046270853379</v>
      </c>
      <c r="N295" s="31">
        <f>H295/M295</f>
        <v>0</v>
      </c>
    </row>
    <row r="296" spans="1:14" s="7" customFormat="1" ht="35.25" customHeight="1">
      <c r="A296" s="142" t="s">
        <v>156</v>
      </c>
      <c r="B296" s="118" t="s">
        <v>167</v>
      </c>
      <c r="C296" s="46" t="s">
        <v>228</v>
      </c>
      <c r="D296" s="15" t="s">
        <v>190</v>
      </c>
      <c r="E296" s="16">
        <f>F299</f>
        <v>39380.47</v>
      </c>
      <c r="F296" s="16" t="s">
        <v>14</v>
      </c>
      <c r="G296" s="16" t="s">
        <v>14</v>
      </c>
      <c r="H296" s="17">
        <f>I296+J296+K296+L296</f>
        <v>29455.327140000001</v>
      </c>
      <c r="I296" s="17">
        <f>SUM(I297:I301)</f>
        <v>0</v>
      </c>
      <c r="J296" s="17">
        <f>SUM(J297:J301)</f>
        <v>0</v>
      </c>
      <c r="K296" s="17">
        <f>SUM(K297:K301)</f>
        <v>29455.327140000001</v>
      </c>
      <c r="L296" s="17">
        <f>SUM(L297:L301)</f>
        <v>0</v>
      </c>
      <c r="M296" s="20"/>
      <c r="N296" s="30">
        <f>SUM(N297:N301)</f>
        <v>4354.5419251168969</v>
      </c>
    </row>
    <row r="297" spans="1:14" s="7" customFormat="1">
      <c r="A297" s="143"/>
      <c r="B297" s="19" t="s">
        <v>19</v>
      </c>
      <c r="C297" s="15" t="s">
        <v>14</v>
      </c>
      <c r="D297" s="15" t="s">
        <v>14</v>
      </c>
      <c r="E297" s="16" t="s">
        <v>14</v>
      </c>
      <c r="F297" s="17">
        <v>0</v>
      </c>
      <c r="G297" s="17">
        <v>0</v>
      </c>
      <c r="H297" s="17">
        <f t="shared" si="42"/>
        <v>97.1</v>
      </c>
      <c r="I297" s="17">
        <v>0</v>
      </c>
      <c r="J297" s="17">
        <v>0</v>
      </c>
      <c r="K297" s="17">
        <v>97.1</v>
      </c>
      <c r="L297" s="17">
        <v>0</v>
      </c>
      <c r="M297" s="20">
        <v>6.0168239999999997</v>
      </c>
      <c r="N297" s="31">
        <f>H297/M297</f>
        <v>16.13808215098198</v>
      </c>
    </row>
    <row r="298" spans="1:14" s="7" customFormat="1">
      <c r="A298" s="143"/>
      <c r="B298" s="19" t="s">
        <v>20</v>
      </c>
      <c r="C298" s="15" t="s">
        <v>14</v>
      </c>
      <c r="D298" s="15" t="s">
        <v>14</v>
      </c>
      <c r="E298" s="16" t="s">
        <v>14</v>
      </c>
      <c r="F298" s="17">
        <f>G298/M298</f>
        <v>0</v>
      </c>
      <c r="G298" s="17">
        <v>0</v>
      </c>
      <c r="H298" s="17">
        <f t="shared" si="42"/>
        <v>4358.22714</v>
      </c>
      <c r="I298" s="17">
        <v>0</v>
      </c>
      <c r="J298" s="17">
        <v>0</v>
      </c>
      <c r="K298" s="17">
        <v>4358.22714</v>
      </c>
      <c r="L298" s="17">
        <v>0</v>
      </c>
      <c r="M298" s="20">
        <v>6.3597829679999993</v>
      </c>
      <c r="N298" s="31">
        <f>H298/M298</f>
        <v>685.27922445293109</v>
      </c>
    </row>
    <row r="299" spans="1:14" s="7" customFormat="1">
      <c r="A299" s="143"/>
      <c r="B299" s="19" t="s">
        <v>28</v>
      </c>
      <c r="C299" s="15" t="s">
        <v>14</v>
      </c>
      <c r="D299" s="15" t="s">
        <v>14</v>
      </c>
      <c r="E299" s="16" t="s">
        <v>14</v>
      </c>
      <c r="F299" s="17">
        <v>39380.47</v>
      </c>
      <c r="G299" s="17">
        <v>227129.61</v>
      </c>
      <c r="H299" s="17">
        <f t="shared" si="42"/>
        <v>15000</v>
      </c>
      <c r="I299" s="17">
        <v>0</v>
      </c>
      <c r="J299" s="17">
        <v>0</v>
      </c>
      <c r="K299" s="17">
        <v>15000</v>
      </c>
      <c r="L299" s="17">
        <v>0</v>
      </c>
      <c r="M299" s="21">
        <v>6.7032112482719999</v>
      </c>
      <c r="N299" s="31">
        <f>H299/M299</f>
        <v>2237.7334451255438</v>
      </c>
    </row>
    <row r="300" spans="1:14" s="7" customFormat="1">
      <c r="A300" s="143"/>
      <c r="B300" s="19" t="s">
        <v>29</v>
      </c>
      <c r="C300" s="15" t="s">
        <v>14</v>
      </c>
      <c r="D300" s="15" t="s">
        <v>14</v>
      </c>
      <c r="E300" s="16" t="s">
        <v>14</v>
      </c>
      <c r="F300" s="17">
        <f>G300/M300</f>
        <v>30024.637760812016</v>
      </c>
      <c r="G300" s="17">
        <f>G299-H299</f>
        <v>212129.61</v>
      </c>
      <c r="H300" s="17">
        <f t="shared" si="42"/>
        <v>10000</v>
      </c>
      <c r="I300" s="17">
        <v>0</v>
      </c>
      <c r="J300" s="17">
        <v>0</v>
      </c>
      <c r="K300" s="17">
        <v>10000</v>
      </c>
      <c r="L300" s="17">
        <v>0</v>
      </c>
      <c r="M300" s="21">
        <v>7.0651846556786886</v>
      </c>
      <c r="N300" s="31">
        <f>H300/M300</f>
        <v>1415.3911733874406</v>
      </c>
    </row>
    <row r="301" spans="1:14" s="7" customFormat="1">
      <c r="A301" s="144"/>
      <c r="B301" s="19" t="s">
        <v>30</v>
      </c>
      <c r="C301" s="15" t="s">
        <v>14</v>
      </c>
      <c r="D301" s="15" t="s">
        <v>14</v>
      </c>
      <c r="E301" s="16" t="s">
        <v>14</v>
      </c>
      <c r="F301" s="17">
        <f>G301/M301</f>
        <v>27143.497711029006</v>
      </c>
      <c r="G301" s="17">
        <f>G300-H300</f>
        <v>202129.61</v>
      </c>
      <c r="H301" s="17">
        <f t="shared" si="42"/>
        <v>0</v>
      </c>
      <c r="I301" s="17">
        <v>0</v>
      </c>
      <c r="J301" s="17">
        <v>0</v>
      </c>
      <c r="K301" s="17">
        <v>0</v>
      </c>
      <c r="L301" s="17">
        <v>0</v>
      </c>
      <c r="M301" s="21">
        <v>7.4467046270853379</v>
      </c>
      <c r="N301" s="31">
        <f>H301/M301</f>
        <v>0</v>
      </c>
    </row>
    <row r="302" spans="1:14" s="7" customFormat="1" ht="57" customHeight="1">
      <c r="A302" s="142" t="s">
        <v>189</v>
      </c>
      <c r="B302" s="10" t="s">
        <v>166</v>
      </c>
      <c r="C302" s="46" t="s">
        <v>208</v>
      </c>
      <c r="D302" s="15" t="s">
        <v>63</v>
      </c>
      <c r="E302" s="16">
        <f>F304</f>
        <v>131251.48000000001</v>
      </c>
      <c r="F302" s="16" t="s">
        <v>14</v>
      </c>
      <c r="G302" s="16" t="s">
        <v>14</v>
      </c>
      <c r="H302" s="17">
        <f t="shared" si="42"/>
        <v>194385.60684999998</v>
      </c>
      <c r="I302" s="17">
        <f>SUM(I303:I307)</f>
        <v>0</v>
      </c>
      <c r="J302" s="17">
        <f>SUM(J303:J307)</f>
        <v>0</v>
      </c>
      <c r="K302" s="17">
        <f>SUM(K303:K307)</f>
        <v>194385.60684999998</v>
      </c>
      <c r="L302" s="17">
        <f>SUM(L303:L307)</f>
        <v>0</v>
      </c>
      <c r="M302" s="20"/>
      <c r="N302" s="30">
        <f>SUM(N303:N307)</f>
        <v>28095.75842320708</v>
      </c>
    </row>
    <row r="303" spans="1:14" s="7" customFormat="1">
      <c r="A303" s="143"/>
      <c r="B303" s="19" t="s">
        <v>19</v>
      </c>
      <c r="C303" s="15" t="s">
        <v>14</v>
      </c>
      <c r="D303" s="15" t="s">
        <v>14</v>
      </c>
      <c r="E303" s="16" t="s">
        <v>14</v>
      </c>
      <c r="F303" s="17">
        <f>G303/M303</f>
        <v>0</v>
      </c>
      <c r="G303" s="17">
        <v>0</v>
      </c>
      <c r="H303" s="17">
        <f t="shared" si="42"/>
        <v>0</v>
      </c>
      <c r="I303" s="17">
        <v>0</v>
      </c>
      <c r="J303" s="17">
        <v>0</v>
      </c>
      <c r="K303" s="17">
        <v>0</v>
      </c>
      <c r="L303" s="17">
        <v>0</v>
      </c>
      <c r="M303" s="20">
        <v>6.0168239999999997</v>
      </c>
      <c r="N303" s="31">
        <f>H303/M303</f>
        <v>0</v>
      </c>
    </row>
    <row r="304" spans="1:14" s="7" customFormat="1">
      <c r="A304" s="143"/>
      <c r="B304" s="19" t="s">
        <v>20</v>
      </c>
      <c r="C304" s="15" t="s">
        <v>14</v>
      </c>
      <c r="D304" s="15" t="s">
        <v>14</v>
      </c>
      <c r="E304" s="16" t="s">
        <v>14</v>
      </c>
      <c r="F304" s="17">
        <f>32149.73+99101.75</f>
        <v>131251.48000000001</v>
      </c>
      <c r="G304" s="17">
        <f>184390.41+616510.65</f>
        <v>800901.06</v>
      </c>
      <c r="H304" s="17">
        <f t="shared" si="42"/>
        <v>16838</v>
      </c>
      <c r="I304" s="17">
        <v>0</v>
      </c>
      <c r="J304" s="17">
        <v>0</v>
      </c>
      <c r="K304" s="17">
        <v>16838</v>
      </c>
      <c r="L304" s="17">
        <v>0</v>
      </c>
      <c r="M304" s="20">
        <v>6.3597829679999993</v>
      </c>
      <c r="N304" s="31">
        <f>H304/M304</f>
        <v>2647.5746239647469</v>
      </c>
    </row>
    <row r="305" spans="1:19" s="7" customFormat="1">
      <c r="A305" s="143"/>
      <c r="B305" s="19" t="s">
        <v>28</v>
      </c>
      <c r="C305" s="15" t="s">
        <v>14</v>
      </c>
      <c r="D305" s="15" t="s">
        <v>14</v>
      </c>
      <c r="E305" s="16" t="s">
        <v>14</v>
      </c>
      <c r="F305" s="75">
        <f>G305/M305</f>
        <v>116968.27549663174</v>
      </c>
      <c r="G305" s="4">
        <f>G304-H304</f>
        <v>784063.06</v>
      </c>
      <c r="H305" s="17">
        <f t="shared" si="42"/>
        <v>46292.290999999997</v>
      </c>
      <c r="I305" s="17">
        <v>0</v>
      </c>
      <c r="J305" s="17">
        <v>0</v>
      </c>
      <c r="K305" s="17">
        <v>46292.290999999997</v>
      </c>
      <c r="L305" s="17">
        <v>0</v>
      </c>
      <c r="M305" s="21">
        <v>6.7032112482719999</v>
      </c>
      <c r="N305" s="31">
        <f>H305/M305</f>
        <v>6905.9871881456138</v>
      </c>
    </row>
    <row r="306" spans="1:19" s="7" customFormat="1">
      <c r="A306" s="143"/>
      <c r="B306" s="19" t="s">
        <v>29</v>
      </c>
      <c r="C306" s="15" t="s">
        <v>14</v>
      </c>
      <c r="D306" s="15" t="s">
        <v>14</v>
      </c>
      <c r="E306" s="16" t="s">
        <v>14</v>
      </c>
      <c r="F306" s="75">
        <f>G306/M306</f>
        <v>104423.42344258646</v>
      </c>
      <c r="G306" s="4">
        <f>G305-H305</f>
        <v>737770.76900000009</v>
      </c>
      <c r="H306" s="17">
        <f t="shared" si="42"/>
        <v>126350.84166999999</v>
      </c>
      <c r="I306" s="17">
        <v>0</v>
      </c>
      <c r="J306" s="17">
        <v>0</v>
      </c>
      <c r="K306" s="17">
        <v>126350.84166999999</v>
      </c>
      <c r="L306" s="17">
        <v>0</v>
      </c>
      <c r="M306" s="21">
        <v>7.0651846556786886</v>
      </c>
      <c r="N306" s="31">
        <f>H306/M306</f>
        <v>17883.586604979202</v>
      </c>
    </row>
    <row r="307" spans="1:19" s="7" customFormat="1">
      <c r="A307" s="144"/>
      <c r="B307" s="19" t="s">
        <v>30</v>
      </c>
      <c r="C307" s="15" t="s">
        <v>14</v>
      </c>
      <c r="D307" s="15" t="s">
        <v>14</v>
      </c>
      <c r="E307" s="16" t="s">
        <v>14</v>
      </c>
      <c r="F307" s="75">
        <f>G307/M307</f>
        <v>82106.107056553374</v>
      </c>
      <c r="G307" s="4">
        <f>G306-H306</f>
        <v>611419.92733000009</v>
      </c>
      <c r="H307" s="17">
        <f t="shared" si="42"/>
        <v>4904.4741800000002</v>
      </c>
      <c r="I307" s="17">
        <v>0</v>
      </c>
      <c r="J307" s="17">
        <v>0</v>
      </c>
      <c r="K307" s="17">
        <v>4904.4741800000002</v>
      </c>
      <c r="L307" s="17">
        <v>0</v>
      </c>
      <c r="M307" s="21">
        <v>7.4467046270853379</v>
      </c>
      <c r="N307" s="31">
        <f>H307/M307</f>
        <v>658.61000611751479</v>
      </c>
    </row>
    <row r="308" spans="1:19" s="7" customFormat="1" ht="33.75" customHeight="1">
      <c r="A308" s="136" t="s">
        <v>188</v>
      </c>
      <c r="B308" s="10" t="s">
        <v>168</v>
      </c>
      <c r="C308" s="46" t="s">
        <v>15</v>
      </c>
      <c r="D308" s="15" t="s">
        <v>4</v>
      </c>
      <c r="E308" s="63">
        <v>8226.91</v>
      </c>
      <c r="F308" s="16" t="s">
        <v>14</v>
      </c>
      <c r="G308" s="16" t="s">
        <v>14</v>
      </c>
      <c r="H308" s="17">
        <f t="shared" si="42"/>
        <v>34045.160000000003</v>
      </c>
      <c r="I308" s="17">
        <f>I309+I310+I311+I312+I313</f>
        <v>32945.160000000003</v>
      </c>
      <c r="J308" s="17">
        <f>J309+J310+J311+J312+J313</f>
        <v>0</v>
      </c>
      <c r="K308" s="17">
        <f>K309+K310+K311+K312+K313</f>
        <v>1100</v>
      </c>
      <c r="L308" s="17">
        <f>L309+L310+L311+L312+L313</f>
        <v>0</v>
      </c>
      <c r="M308" s="20"/>
      <c r="N308" s="30">
        <f>SUM(N309:N313)</f>
        <v>5648.4685563565608</v>
      </c>
    </row>
    <row r="309" spans="1:19" s="7" customFormat="1">
      <c r="A309" s="137"/>
      <c r="B309" s="19" t="s">
        <v>19</v>
      </c>
      <c r="C309" s="15" t="s">
        <v>14</v>
      </c>
      <c r="D309" s="15" t="s">
        <v>14</v>
      </c>
      <c r="E309" s="16" t="s">
        <v>14</v>
      </c>
      <c r="F309" s="17">
        <f>G309/M309</f>
        <v>5658.32738335042</v>
      </c>
      <c r="G309" s="17">
        <f>H308</f>
        <v>34045.160000000003</v>
      </c>
      <c r="H309" s="17">
        <f t="shared" si="42"/>
        <v>32945.160000000003</v>
      </c>
      <c r="I309" s="17">
        <v>32945.160000000003</v>
      </c>
      <c r="J309" s="17">
        <v>0</v>
      </c>
      <c r="K309" s="17">
        <v>0</v>
      </c>
      <c r="L309" s="17">
        <v>0</v>
      </c>
      <c r="M309" s="20">
        <v>6.0168239999999997</v>
      </c>
      <c r="N309" s="31">
        <f>H309/M309</f>
        <v>5475.5066792713242</v>
      </c>
    </row>
    <row r="310" spans="1:19" s="7" customFormat="1">
      <c r="A310" s="137"/>
      <c r="B310" s="19" t="s">
        <v>20</v>
      </c>
      <c r="C310" s="15" t="s">
        <v>14</v>
      </c>
      <c r="D310" s="15" t="s">
        <v>14</v>
      </c>
      <c r="E310" s="16" t="s">
        <v>14</v>
      </c>
      <c r="F310" s="17">
        <f>G310/M310</f>
        <v>172.96187708523706</v>
      </c>
      <c r="G310" s="17">
        <f>G309-H309</f>
        <v>1100</v>
      </c>
      <c r="H310" s="17">
        <f t="shared" si="42"/>
        <v>1100</v>
      </c>
      <c r="I310" s="17">
        <v>0</v>
      </c>
      <c r="J310" s="17">
        <v>0</v>
      </c>
      <c r="K310" s="17">
        <v>1100</v>
      </c>
      <c r="L310" s="17">
        <v>0</v>
      </c>
      <c r="M310" s="20">
        <v>6.3597829679999993</v>
      </c>
      <c r="N310" s="31">
        <f>H310/M310</f>
        <v>172.96187708523706</v>
      </c>
    </row>
    <row r="311" spans="1:19" s="7" customFormat="1">
      <c r="A311" s="137"/>
      <c r="B311" s="19" t="s">
        <v>28</v>
      </c>
      <c r="C311" s="15" t="s">
        <v>14</v>
      </c>
      <c r="D311" s="15" t="s">
        <v>14</v>
      </c>
      <c r="E311" s="16" t="s">
        <v>14</v>
      </c>
      <c r="F311" s="17">
        <f>G311/M311</f>
        <v>0</v>
      </c>
      <c r="G311" s="17">
        <f>G310-H310</f>
        <v>0</v>
      </c>
      <c r="H311" s="17">
        <f t="shared" si="42"/>
        <v>0</v>
      </c>
      <c r="I311" s="17">
        <v>0</v>
      </c>
      <c r="J311" s="17">
        <v>0</v>
      </c>
      <c r="K311" s="17">
        <v>0</v>
      </c>
      <c r="L311" s="17">
        <v>0</v>
      </c>
      <c r="M311" s="21">
        <v>6.7032112482719999</v>
      </c>
      <c r="N311" s="31">
        <f>H311/M311</f>
        <v>0</v>
      </c>
    </row>
    <row r="312" spans="1:19" s="7" customFormat="1">
      <c r="A312" s="137"/>
      <c r="B312" s="19" t="s">
        <v>29</v>
      </c>
      <c r="C312" s="15" t="s">
        <v>14</v>
      </c>
      <c r="D312" s="15" t="s">
        <v>14</v>
      </c>
      <c r="E312" s="16" t="s">
        <v>14</v>
      </c>
      <c r="F312" s="17">
        <f>G312/M312</f>
        <v>0</v>
      </c>
      <c r="G312" s="17">
        <f>G311-H311</f>
        <v>0</v>
      </c>
      <c r="H312" s="17">
        <f t="shared" si="42"/>
        <v>0</v>
      </c>
      <c r="I312" s="17">
        <v>0</v>
      </c>
      <c r="J312" s="17">
        <v>0</v>
      </c>
      <c r="K312" s="17">
        <f>K311*1.08</f>
        <v>0</v>
      </c>
      <c r="L312" s="17">
        <v>0</v>
      </c>
      <c r="M312" s="21">
        <v>7.0651846556786886</v>
      </c>
      <c r="N312" s="31">
        <f>H312/M312</f>
        <v>0</v>
      </c>
    </row>
    <row r="313" spans="1:19" s="7" customFormat="1">
      <c r="A313" s="138"/>
      <c r="B313" s="19" t="s">
        <v>30</v>
      </c>
      <c r="C313" s="15" t="s">
        <v>14</v>
      </c>
      <c r="D313" s="15" t="s">
        <v>14</v>
      </c>
      <c r="E313" s="16" t="s">
        <v>14</v>
      </c>
      <c r="F313" s="17">
        <f>G313/M313</f>
        <v>0</v>
      </c>
      <c r="G313" s="17">
        <f>G312-H312</f>
        <v>0</v>
      </c>
      <c r="H313" s="17">
        <f t="shared" si="42"/>
        <v>0</v>
      </c>
      <c r="I313" s="17">
        <v>0</v>
      </c>
      <c r="J313" s="17">
        <v>0</v>
      </c>
      <c r="K313" s="17">
        <v>0</v>
      </c>
      <c r="L313" s="17">
        <v>0</v>
      </c>
      <c r="M313" s="21">
        <v>7.4467046270853379</v>
      </c>
      <c r="N313" s="31">
        <f>H313/M313</f>
        <v>0</v>
      </c>
    </row>
    <row r="314" spans="1:19" s="38" customFormat="1" ht="79.5" customHeight="1">
      <c r="A314" s="133" t="s">
        <v>169</v>
      </c>
      <c r="B314" s="32" t="s">
        <v>194</v>
      </c>
      <c r="C314" s="51" t="s">
        <v>14</v>
      </c>
      <c r="D314" s="51" t="s">
        <v>95</v>
      </c>
      <c r="E314" s="51" t="s">
        <v>14</v>
      </c>
      <c r="F314" s="64" t="s">
        <v>14</v>
      </c>
      <c r="G314" s="64" t="s">
        <v>14</v>
      </c>
      <c r="H314" s="64">
        <f>H320+H326</f>
        <v>8000</v>
      </c>
      <c r="I314" s="64">
        <f t="shared" ref="H314:L319" si="43">I320+I326</f>
        <v>5000</v>
      </c>
      <c r="J314" s="64">
        <f t="shared" si="43"/>
        <v>0</v>
      </c>
      <c r="K314" s="64">
        <f t="shared" si="43"/>
        <v>3000</v>
      </c>
      <c r="L314" s="64">
        <f t="shared" si="43"/>
        <v>0</v>
      </c>
      <c r="M314" s="54"/>
      <c r="N314" s="36"/>
      <c r="O314" s="65">
        <f>K315+K316+K317+K318+K319</f>
        <v>3000</v>
      </c>
      <c r="P314" s="65">
        <f>K314-O314</f>
        <v>0</v>
      </c>
      <c r="Q314" s="66"/>
      <c r="R314" s="7"/>
      <c r="S314" s="7"/>
    </row>
    <row r="315" spans="1:19" s="38" customFormat="1">
      <c r="A315" s="134"/>
      <c r="B315" s="39" t="s">
        <v>2</v>
      </c>
      <c r="C315" s="51" t="s">
        <v>14</v>
      </c>
      <c r="D315" s="51" t="s">
        <v>14</v>
      </c>
      <c r="E315" s="64" t="s">
        <v>14</v>
      </c>
      <c r="F315" s="64">
        <f>F321</f>
        <v>0</v>
      </c>
      <c r="G315" s="64">
        <f>G321</f>
        <v>0</v>
      </c>
      <c r="H315" s="64">
        <f t="shared" si="43"/>
        <v>0</v>
      </c>
      <c r="I315" s="64">
        <f t="shared" si="43"/>
        <v>0</v>
      </c>
      <c r="J315" s="64">
        <f t="shared" si="43"/>
        <v>0</v>
      </c>
      <c r="K315" s="64">
        <f t="shared" si="43"/>
        <v>0</v>
      </c>
      <c r="L315" s="64">
        <f t="shared" si="43"/>
        <v>0</v>
      </c>
      <c r="M315" s="54">
        <v>6.0168239999999997</v>
      </c>
      <c r="N315" s="36"/>
      <c r="Q315" s="66"/>
      <c r="R315" s="7"/>
      <c r="S315" s="7"/>
    </row>
    <row r="316" spans="1:19" s="38" customFormat="1">
      <c r="A316" s="134"/>
      <c r="B316" s="39" t="s">
        <v>0</v>
      </c>
      <c r="C316" s="51" t="s">
        <v>14</v>
      </c>
      <c r="D316" s="51" t="s">
        <v>14</v>
      </c>
      <c r="E316" s="64" t="s">
        <v>14</v>
      </c>
      <c r="F316" s="64">
        <f t="shared" ref="F316:G319" si="44">F322</f>
        <v>0</v>
      </c>
      <c r="G316" s="64">
        <f t="shared" si="44"/>
        <v>0</v>
      </c>
      <c r="H316" s="64">
        <f t="shared" si="43"/>
        <v>0</v>
      </c>
      <c r="I316" s="64">
        <f t="shared" si="43"/>
        <v>0</v>
      </c>
      <c r="J316" s="64">
        <f t="shared" si="43"/>
        <v>0</v>
      </c>
      <c r="K316" s="64">
        <f t="shared" si="43"/>
        <v>0</v>
      </c>
      <c r="L316" s="64">
        <f t="shared" si="43"/>
        <v>0</v>
      </c>
      <c r="M316" s="54">
        <v>6.3597829679999993</v>
      </c>
      <c r="N316" s="36"/>
      <c r="Q316" s="66"/>
      <c r="R316" s="7"/>
      <c r="S316" s="7"/>
    </row>
    <row r="317" spans="1:19" s="38" customFormat="1">
      <c r="A317" s="134"/>
      <c r="B317" s="39" t="s">
        <v>28</v>
      </c>
      <c r="C317" s="51" t="s">
        <v>14</v>
      </c>
      <c r="D317" s="51" t="s">
        <v>14</v>
      </c>
      <c r="E317" s="64" t="s">
        <v>14</v>
      </c>
      <c r="F317" s="64">
        <f t="shared" si="44"/>
        <v>745.91114837518126</v>
      </c>
      <c r="G317" s="64">
        <f t="shared" si="44"/>
        <v>5000</v>
      </c>
      <c r="H317" s="64">
        <f t="shared" si="43"/>
        <v>5000</v>
      </c>
      <c r="I317" s="64">
        <f t="shared" si="43"/>
        <v>5000</v>
      </c>
      <c r="J317" s="64">
        <f t="shared" si="43"/>
        <v>0</v>
      </c>
      <c r="K317" s="64">
        <f t="shared" si="43"/>
        <v>0</v>
      </c>
      <c r="L317" s="64">
        <f t="shared" si="43"/>
        <v>0</v>
      </c>
      <c r="M317" s="58">
        <v>6.7032112482719999</v>
      </c>
      <c r="N317" s="36"/>
      <c r="Q317" s="66"/>
      <c r="R317" s="7"/>
      <c r="S317" s="7"/>
    </row>
    <row r="318" spans="1:19" s="38" customFormat="1">
      <c r="A318" s="134"/>
      <c r="B318" s="39" t="s">
        <v>29</v>
      </c>
      <c r="C318" s="51" t="s">
        <v>14</v>
      </c>
      <c r="D318" s="51" t="s">
        <v>14</v>
      </c>
      <c r="E318" s="64" t="s">
        <v>14</v>
      </c>
      <c r="F318" s="64">
        <f t="shared" si="44"/>
        <v>0</v>
      </c>
      <c r="G318" s="64">
        <f t="shared" si="44"/>
        <v>0</v>
      </c>
      <c r="H318" s="64">
        <f t="shared" si="43"/>
        <v>0</v>
      </c>
      <c r="I318" s="64">
        <f t="shared" si="43"/>
        <v>0</v>
      </c>
      <c r="J318" s="64">
        <f t="shared" si="43"/>
        <v>0</v>
      </c>
      <c r="K318" s="64">
        <f t="shared" si="43"/>
        <v>0</v>
      </c>
      <c r="L318" s="64">
        <f t="shared" si="43"/>
        <v>0</v>
      </c>
      <c r="M318" s="58">
        <v>7.0651846556786886</v>
      </c>
      <c r="N318" s="36"/>
      <c r="Q318" s="66"/>
      <c r="R318" s="7"/>
      <c r="S318" s="7"/>
    </row>
    <row r="319" spans="1:19" s="38" customFormat="1">
      <c r="A319" s="134"/>
      <c r="B319" s="39" t="s">
        <v>30</v>
      </c>
      <c r="C319" s="51" t="s">
        <v>14</v>
      </c>
      <c r="D319" s="51" t="s">
        <v>14</v>
      </c>
      <c r="E319" s="64" t="s">
        <v>14</v>
      </c>
      <c r="F319" s="64">
        <f t="shared" si="44"/>
        <v>0</v>
      </c>
      <c r="G319" s="64">
        <f t="shared" si="44"/>
        <v>0</v>
      </c>
      <c r="H319" s="64">
        <f t="shared" si="43"/>
        <v>3000</v>
      </c>
      <c r="I319" s="64">
        <f t="shared" si="43"/>
        <v>0</v>
      </c>
      <c r="J319" s="64">
        <f t="shared" si="43"/>
        <v>0</v>
      </c>
      <c r="K319" s="64">
        <f t="shared" si="43"/>
        <v>3000</v>
      </c>
      <c r="L319" s="64">
        <f>L325+L331</f>
        <v>0</v>
      </c>
      <c r="M319" s="58">
        <v>7.4467046270853379</v>
      </c>
      <c r="N319" s="36"/>
      <c r="Q319" s="66"/>
      <c r="R319" s="7"/>
      <c r="S319" s="7"/>
    </row>
    <row r="320" spans="1:19" s="7" customFormat="1" ht="44.25" customHeight="1">
      <c r="A320" s="142" t="s">
        <v>171</v>
      </c>
      <c r="B320" s="19" t="s">
        <v>170</v>
      </c>
      <c r="C320" s="67" t="s">
        <v>15</v>
      </c>
      <c r="D320" s="59">
        <v>2013</v>
      </c>
      <c r="E320" s="16">
        <f>N320</f>
        <v>745.91114837518126</v>
      </c>
      <c r="F320" s="16" t="s">
        <v>14</v>
      </c>
      <c r="G320" s="16" t="s">
        <v>14</v>
      </c>
      <c r="H320" s="17">
        <f t="shared" ref="H320:H325" si="45">I320+J320+K320+L320</f>
        <v>5000</v>
      </c>
      <c r="I320" s="17">
        <f>I321+I322+I323+I324+I325</f>
        <v>5000</v>
      </c>
      <c r="J320" s="17">
        <f>J321+J322+J323+J324+J325</f>
        <v>0</v>
      </c>
      <c r="K320" s="17">
        <f>K321+K322+K323+K324+K325</f>
        <v>0</v>
      </c>
      <c r="L320" s="17">
        <f>L321+L322+L323+L324+L325</f>
        <v>0</v>
      </c>
      <c r="M320" s="68"/>
      <c r="N320" s="30">
        <f>N321+N322+N323+N324+N325</f>
        <v>745.91114837518126</v>
      </c>
      <c r="Q320" s="69"/>
    </row>
    <row r="321" spans="1:17" s="7" customFormat="1">
      <c r="A321" s="143"/>
      <c r="B321" s="19" t="s">
        <v>19</v>
      </c>
      <c r="C321" s="15" t="s">
        <v>14</v>
      </c>
      <c r="D321" s="15" t="s">
        <v>14</v>
      </c>
      <c r="E321" s="16" t="s">
        <v>14</v>
      </c>
      <c r="F321" s="17">
        <v>0</v>
      </c>
      <c r="G321" s="17">
        <v>0</v>
      </c>
      <c r="H321" s="17">
        <f t="shared" si="45"/>
        <v>0</v>
      </c>
      <c r="I321" s="70">
        <v>0</v>
      </c>
      <c r="J321" s="70">
        <v>0</v>
      </c>
      <c r="K321" s="71">
        <v>0</v>
      </c>
      <c r="L321" s="70">
        <v>0</v>
      </c>
      <c r="M321" s="68">
        <v>6.0168239999999997</v>
      </c>
      <c r="N321" s="31">
        <f>H321/M321</f>
        <v>0</v>
      </c>
      <c r="Q321" s="69"/>
    </row>
    <row r="322" spans="1:17" s="7" customFormat="1">
      <c r="A322" s="143"/>
      <c r="B322" s="19" t="s">
        <v>20</v>
      </c>
      <c r="C322" s="15" t="s">
        <v>14</v>
      </c>
      <c r="D322" s="15" t="s">
        <v>14</v>
      </c>
      <c r="E322" s="16" t="s">
        <v>14</v>
      </c>
      <c r="F322" s="17">
        <v>0</v>
      </c>
      <c r="G322" s="17">
        <v>0</v>
      </c>
      <c r="H322" s="17">
        <f t="shared" si="45"/>
        <v>0</v>
      </c>
      <c r="I322" s="70">
        <v>0</v>
      </c>
      <c r="J322" s="70">
        <v>0</v>
      </c>
      <c r="K322" s="70">
        <v>0</v>
      </c>
      <c r="L322" s="70">
        <v>0</v>
      </c>
      <c r="M322" s="68">
        <v>6.3597829679999993</v>
      </c>
      <c r="N322" s="31">
        <f>H322/M322</f>
        <v>0</v>
      </c>
      <c r="Q322" s="69"/>
    </row>
    <row r="323" spans="1:17" s="7" customFormat="1">
      <c r="A323" s="143"/>
      <c r="B323" s="19" t="s">
        <v>28</v>
      </c>
      <c r="C323" s="15" t="s">
        <v>14</v>
      </c>
      <c r="D323" s="15" t="s">
        <v>14</v>
      </c>
      <c r="E323" s="16" t="s">
        <v>14</v>
      </c>
      <c r="F323" s="17">
        <f>G323/M323</f>
        <v>745.91114837518126</v>
      </c>
      <c r="G323" s="17">
        <f>H320</f>
        <v>5000</v>
      </c>
      <c r="H323" s="17">
        <f t="shared" si="45"/>
        <v>5000</v>
      </c>
      <c r="I323" s="70">
        <v>5000</v>
      </c>
      <c r="J323" s="70">
        <v>0</v>
      </c>
      <c r="K323" s="70">
        <v>0</v>
      </c>
      <c r="L323" s="70">
        <v>0</v>
      </c>
      <c r="M323" s="72">
        <v>6.7032112482719999</v>
      </c>
      <c r="N323" s="31">
        <f>H323/M323</f>
        <v>745.91114837518126</v>
      </c>
      <c r="Q323" s="69"/>
    </row>
    <row r="324" spans="1:17" s="7" customFormat="1">
      <c r="A324" s="143"/>
      <c r="B324" s="19" t="s">
        <v>29</v>
      </c>
      <c r="C324" s="15" t="s">
        <v>14</v>
      </c>
      <c r="D324" s="15" t="s">
        <v>14</v>
      </c>
      <c r="E324" s="16" t="s">
        <v>14</v>
      </c>
      <c r="F324" s="17">
        <v>0</v>
      </c>
      <c r="G324" s="17">
        <f>F324*M324</f>
        <v>0</v>
      </c>
      <c r="H324" s="17">
        <f t="shared" si="45"/>
        <v>0</v>
      </c>
      <c r="I324" s="70">
        <v>0</v>
      </c>
      <c r="J324" s="70">
        <v>0</v>
      </c>
      <c r="K324" s="70">
        <v>0</v>
      </c>
      <c r="L324" s="70">
        <v>0</v>
      </c>
      <c r="M324" s="72">
        <v>7.0651846556786886</v>
      </c>
      <c r="N324" s="31">
        <f>H324/M324</f>
        <v>0</v>
      </c>
      <c r="Q324" s="69"/>
    </row>
    <row r="325" spans="1:17" s="7" customFormat="1">
      <c r="A325" s="144"/>
      <c r="B325" s="19" t="s">
        <v>30</v>
      </c>
      <c r="C325" s="15" t="s">
        <v>14</v>
      </c>
      <c r="D325" s="15" t="s">
        <v>14</v>
      </c>
      <c r="E325" s="16" t="s">
        <v>14</v>
      </c>
      <c r="F325" s="17">
        <v>0</v>
      </c>
      <c r="G325" s="17">
        <f>F325*M325</f>
        <v>0</v>
      </c>
      <c r="H325" s="17">
        <f t="shared" si="45"/>
        <v>0</v>
      </c>
      <c r="I325" s="70">
        <v>0</v>
      </c>
      <c r="J325" s="70">
        <v>0</v>
      </c>
      <c r="K325" s="70">
        <v>0</v>
      </c>
      <c r="L325" s="70">
        <v>0</v>
      </c>
      <c r="M325" s="72">
        <v>7.4467046270853379</v>
      </c>
      <c r="N325" s="31">
        <f>H325/M325</f>
        <v>0</v>
      </c>
      <c r="Q325" s="69"/>
    </row>
    <row r="326" spans="1:17" s="109" customFormat="1" ht="35.25" customHeight="1">
      <c r="A326" s="126" t="s">
        <v>210</v>
      </c>
      <c r="B326" s="19" t="s">
        <v>195</v>
      </c>
      <c r="C326" s="15" t="s">
        <v>15</v>
      </c>
      <c r="D326" s="59">
        <v>2015</v>
      </c>
      <c r="E326" s="16"/>
      <c r="F326" s="17" t="s">
        <v>34</v>
      </c>
      <c r="G326" s="17" t="s">
        <v>34</v>
      </c>
      <c r="H326" s="17">
        <f>H327+H328+H329+H330+H331</f>
        <v>3000</v>
      </c>
      <c r="I326" s="17">
        <f>I327+I328+I329+I330+I331</f>
        <v>0</v>
      </c>
      <c r="J326" s="17">
        <f>J327+J328+J329+J330+J331</f>
        <v>0</v>
      </c>
      <c r="K326" s="17">
        <f>K327+K328+K329+K330+K331</f>
        <v>3000</v>
      </c>
      <c r="L326" s="17">
        <f>L327+L328+L329+L330+L331</f>
        <v>0</v>
      </c>
      <c r="M326" s="106"/>
      <c r="N326" s="107"/>
      <c r="Q326" s="110"/>
    </row>
    <row r="327" spans="1:17" s="109" customFormat="1">
      <c r="A327" s="126"/>
      <c r="B327" s="19" t="s">
        <v>2</v>
      </c>
      <c r="C327" s="15" t="s">
        <v>34</v>
      </c>
      <c r="D327" s="15" t="s">
        <v>34</v>
      </c>
      <c r="E327" s="15" t="s">
        <v>34</v>
      </c>
      <c r="F327" s="17"/>
      <c r="G327" s="17"/>
      <c r="H327" s="17">
        <f>I327+J327+K327+L327</f>
        <v>0</v>
      </c>
      <c r="I327" s="70">
        <v>0</v>
      </c>
      <c r="J327" s="70">
        <v>0</v>
      </c>
      <c r="K327" s="70">
        <v>0</v>
      </c>
      <c r="L327" s="70">
        <v>0</v>
      </c>
      <c r="M327" s="106"/>
      <c r="N327" s="107"/>
      <c r="Q327" s="110"/>
    </row>
    <row r="328" spans="1:17" s="109" customFormat="1">
      <c r="A328" s="126"/>
      <c r="B328" s="19" t="s">
        <v>0</v>
      </c>
      <c r="C328" s="15" t="s">
        <v>34</v>
      </c>
      <c r="D328" s="15" t="s">
        <v>34</v>
      </c>
      <c r="E328" s="15" t="s">
        <v>34</v>
      </c>
      <c r="F328" s="17"/>
      <c r="G328" s="17"/>
      <c r="H328" s="17">
        <f>I328+J328+K328+L328</f>
        <v>0</v>
      </c>
      <c r="I328" s="70">
        <v>0</v>
      </c>
      <c r="J328" s="70">
        <v>0</v>
      </c>
      <c r="K328" s="70">
        <v>0</v>
      </c>
      <c r="L328" s="70">
        <v>0</v>
      </c>
      <c r="M328" s="106"/>
      <c r="N328" s="107"/>
      <c r="Q328" s="110"/>
    </row>
    <row r="329" spans="1:17" s="109" customFormat="1">
      <c r="A329" s="126"/>
      <c r="B329" s="19" t="s">
        <v>28</v>
      </c>
      <c r="C329" s="15" t="s">
        <v>34</v>
      </c>
      <c r="D329" s="15" t="s">
        <v>34</v>
      </c>
      <c r="E329" s="15" t="s">
        <v>34</v>
      </c>
      <c r="F329" s="17"/>
      <c r="G329" s="17"/>
      <c r="H329" s="17">
        <f>I329+J329+K329+L329</f>
        <v>0</v>
      </c>
      <c r="I329" s="70">
        <v>0</v>
      </c>
      <c r="J329" s="70">
        <v>0</v>
      </c>
      <c r="K329" s="70">
        <v>0</v>
      </c>
      <c r="L329" s="70">
        <v>0</v>
      </c>
      <c r="M329" s="106"/>
      <c r="N329" s="107"/>
      <c r="Q329" s="110"/>
    </row>
    <row r="330" spans="1:17" s="109" customFormat="1">
      <c r="A330" s="126"/>
      <c r="B330" s="19" t="s">
        <v>29</v>
      </c>
      <c r="C330" s="15" t="s">
        <v>34</v>
      </c>
      <c r="D330" s="15" t="s">
        <v>34</v>
      </c>
      <c r="E330" s="15" t="s">
        <v>34</v>
      </c>
      <c r="F330" s="17"/>
      <c r="G330" s="17"/>
      <c r="H330" s="17">
        <f>I330+J330+K330+L330</f>
        <v>0</v>
      </c>
      <c r="I330" s="70">
        <v>0</v>
      </c>
      <c r="J330" s="70">
        <v>0</v>
      </c>
      <c r="K330" s="70">
        <v>0</v>
      </c>
      <c r="L330" s="70">
        <v>0</v>
      </c>
      <c r="M330" s="106"/>
      <c r="N330" s="107"/>
      <c r="Q330" s="110"/>
    </row>
    <row r="331" spans="1:17" s="109" customFormat="1">
      <c r="A331" s="126"/>
      <c r="B331" s="19" t="s">
        <v>30</v>
      </c>
      <c r="C331" s="15" t="s">
        <v>34</v>
      </c>
      <c r="D331" s="15" t="s">
        <v>34</v>
      </c>
      <c r="E331" s="15" t="s">
        <v>34</v>
      </c>
      <c r="F331" s="17"/>
      <c r="G331" s="17"/>
      <c r="H331" s="17">
        <f>I331+J331+K331+L331</f>
        <v>3000</v>
      </c>
      <c r="I331" s="70">
        <v>0</v>
      </c>
      <c r="J331" s="70">
        <v>0</v>
      </c>
      <c r="K331" s="70">
        <v>3000</v>
      </c>
      <c r="L331" s="70">
        <v>0</v>
      </c>
      <c r="M331" s="106"/>
      <c r="N331" s="107"/>
      <c r="Q331" s="110"/>
    </row>
    <row r="332" spans="1:17" s="60" customFormat="1" ht="57.75" customHeight="1">
      <c r="A332" s="139" t="s">
        <v>105</v>
      </c>
      <c r="B332" s="32" t="s">
        <v>108</v>
      </c>
      <c r="C332" s="93" t="s">
        <v>14</v>
      </c>
      <c r="D332" s="52" t="s">
        <v>229</v>
      </c>
      <c r="E332" s="53" t="s">
        <v>14</v>
      </c>
      <c r="F332" s="53" t="s">
        <v>14</v>
      </c>
      <c r="G332" s="64" t="s">
        <v>14</v>
      </c>
      <c r="H332" s="53">
        <f t="shared" ref="G332:L333" si="46">H338+H344+H350+H356+H362+H368+H374+H380+H386+H392+H398+H404+H410+H416+H434+H440+H422+H428</f>
        <v>4656003.9670809377</v>
      </c>
      <c r="I332" s="53">
        <f t="shared" si="46"/>
        <v>376655.60000000003</v>
      </c>
      <c r="J332" s="53">
        <f t="shared" si="46"/>
        <v>0</v>
      </c>
      <c r="K332" s="53">
        <f t="shared" si="46"/>
        <v>979807.11108093755</v>
      </c>
      <c r="L332" s="53">
        <f t="shared" si="46"/>
        <v>3299541.2560000001</v>
      </c>
      <c r="M332" s="61"/>
      <c r="N332" s="55">
        <f>SUM(N333:N337)</f>
        <v>664763.91122469713</v>
      </c>
    </row>
    <row r="333" spans="1:17" s="60" customFormat="1">
      <c r="A333" s="140"/>
      <c r="B333" s="39" t="s">
        <v>19</v>
      </c>
      <c r="C333" s="51" t="s">
        <v>14</v>
      </c>
      <c r="D333" s="51" t="s">
        <v>14</v>
      </c>
      <c r="E333" s="64" t="s">
        <v>14</v>
      </c>
      <c r="F333" s="53">
        <f>F339+F345+F351+F357+F363+F369+F375+F381+F387+F393+F399+F405+F411+F417+F435+F441+F423+F429</f>
        <v>64262.436856840082</v>
      </c>
      <c r="G333" s="53">
        <f t="shared" si="46"/>
        <v>349290.60099999997</v>
      </c>
      <c r="H333" s="53">
        <f t="shared" si="46"/>
        <v>107254.23999999999</v>
      </c>
      <c r="I333" s="53">
        <f t="shared" si="46"/>
        <v>90060</v>
      </c>
      <c r="J333" s="53">
        <f t="shared" si="46"/>
        <v>0</v>
      </c>
      <c r="K333" s="53">
        <f t="shared" si="46"/>
        <v>17194.240000000002</v>
      </c>
      <c r="L333" s="53">
        <f t="shared" si="46"/>
        <v>0</v>
      </c>
      <c r="M333" s="61">
        <v>6.0168239999999997</v>
      </c>
      <c r="N333" s="57">
        <f>H333/M333</f>
        <v>17825.72333842572</v>
      </c>
    </row>
    <row r="334" spans="1:17" s="60" customFormat="1">
      <c r="A334" s="140"/>
      <c r="B334" s="39" t="s">
        <v>20</v>
      </c>
      <c r="C334" s="51" t="s">
        <v>14</v>
      </c>
      <c r="D334" s="51" t="s">
        <v>14</v>
      </c>
      <c r="E334" s="64" t="s">
        <v>14</v>
      </c>
      <c r="F334" s="53">
        <f t="shared" ref="F334:L337" si="47">F340+F346+F352+F358+F364+F370+F376+F382+F388+F394+F400+F406+F412+F418+F436+F442+F424+F430</f>
        <v>160316.85615350126</v>
      </c>
      <c r="G334" s="53">
        <f t="shared" si="47"/>
        <v>1008987.5090809374</v>
      </c>
      <c r="H334" s="53">
        <f t="shared" si="47"/>
        <v>137630.91</v>
      </c>
      <c r="I334" s="53">
        <f t="shared" si="47"/>
        <v>121964</v>
      </c>
      <c r="J334" s="53">
        <f t="shared" si="47"/>
        <v>0</v>
      </c>
      <c r="K334" s="53">
        <f t="shared" si="47"/>
        <v>15666.91</v>
      </c>
      <c r="L334" s="53">
        <f t="shared" si="47"/>
        <v>0</v>
      </c>
      <c r="M334" s="61">
        <v>6.3597829679999993</v>
      </c>
      <c r="N334" s="57">
        <f>H334/M334</f>
        <v>21640.818671408477</v>
      </c>
    </row>
    <row r="335" spans="1:17" s="60" customFormat="1">
      <c r="A335" s="140"/>
      <c r="B335" s="39" t="s">
        <v>28</v>
      </c>
      <c r="C335" s="51" t="s">
        <v>14</v>
      </c>
      <c r="D335" s="51" t="s">
        <v>14</v>
      </c>
      <c r="E335" s="64" t="s">
        <v>14</v>
      </c>
      <c r="F335" s="53">
        <f t="shared" si="47"/>
        <v>575779.20595777035</v>
      </c>
      <c r="G335" s="53">
        <f t="shared" si="47"/>
        <v>4015666.4128462989</v>
      </c>
      <c r="H335" s="53">
        <f t="shared" si="47"/>
        <v>1296391.425</v>
      </c>
      <c r="I335" s="53">
        <f t="shared" si="47"/>
        <v>70121.599999999991</v>
      </c>
      <c r="J335" s="53">
        <f t="shared" si="47"/>
        <v>0</v>
      </c>
      <c r="K335" s="53">
        <f t="shared" si="47"/>
        <v>206569.82500000001</v>
      </c>
      <c r="L335" s="53">
        <f t="shared" si="47"/>
        <v>1019700</v>
      </c>
      <c r="M335" s="62">
        <v>6.7032112482719999</v>
      </c>
      <c r="N335" s="57">
        <f>H335/M335</f>
        <v>193398.56331309755</v>
      </c>
    </row>
    <row r="336" spans="1:17" s="60" customFormat="1">
      <c r="A336" s="140"/>
      <c r="B336" s="39" t="s">
        <v>29</v>
      </c>
      <c r="C336" s="51" t="s">
        <v>14</v>
      </c>
      <c r="D336" s="51" t="s">
        <v>14</v>
      </c>
      <c r="E336" s="64" t="s">
        <v>14</v>
      </c>
      <c r="F336" s="53">
        <f t="shared" si="47"/>
        <v>433249.97471456951</v>
      </c>
      <c r="G336" s="53">
        <f t="shared" si="47"/>
        <v>3114727.3739026943</v>
      </c>
      <c r="H336" s="53">
        <f t="shared" si="47"/>
        <v>1879545.2640809375</v>
      </c>
      <c r="I336" s="53">
        <f t="shared" si="47"/>
        <v>94510</v>
      </c>
      <c r="J336" s="53">
        <f t="shared" si="47"/>
        <v>0</v>
      </c>
      <c r="K336" s="53">
        <f t="shared" si="47"/>
        <v>605562.63608093723</v>
      </c>
      <c r="L336" s="53">
        <f t="shared" si="47"/>
        <v>1179472.628</v>
      </c>
      <c r="M336" s="62">
        <v>7.0651846556786886</v>
      </c>
      <c r="N336" s="57">
        <f>H336/M336</f>
        <v>266029.17767623253</v>
      </c>
    </row>
    <row r="337" spans="1:14" s="60" customFormat="1">
      <c r="A337" s="141"/>
      <c r="B337" s="39" t="s">
        <v>30</v>
      </c>
      <c r="C337" s="51" t="s">
        <v>14</v>
      </c>
      <c r="D337" s="51" t="s">
        <v>14</v>
      </c>
      <c r="E337" s="64" t="s">
        <v>14</v>
      </c>
      <c r="F337" s="53">
        <f t="shared" si="47"/>
        <v>165869.6304410297</v>
      </c>
      <c r="G337" s="53">
        <f t="shared" si="47"/>
        <v>1235182.1000000001</v>
      </c>
      <c r="H337" s="53">
        <f t="shared" si="47"/>
        <v>1235182.128</v>
      </c>
      <c r="I337" s="53">
        <f t="shared" si="47"/>
        <v>0</v>
      </c>
      <c r="J337" s="53">
        <f t="shared" si="47"/>
        <v>0</v>
      </c>
      <c r="K337" s="53">
        <f t="shared" si="47"/>
        <v>134813.5</v>
      </c>
      <c r="L337" s="53">
        <f t="shared" si="47"/>
        <v>1100368.628</v>
      </c>
      <c r="M337" s="62">
        <v>7.4467046270853379</v>
      </c>
      <c r="N337" s="57">
        <f>H337/M337</f>
        <v>165869.62822553283</v>
      </c>
    </row>
    <row r="338" spans="1:14" s="76" customFormat="1" ht="121.5" customHeight="1">
      <c r="A338" s="145" t="s">
        <v>114</v>
      </c>
      <c r="B338" s="14" t="s">
        <v>109</v>
      </c>
      <c r="C338" s="73" t="s">
        <v>218</v>
      </c>
      <c r="D338" s="73" t="s">
        <v>113</v>
      </c>
      <c r="E338" s="75">
        <v>14931.11</v>
      </c>
      <c r="F338" s="23" t="s">
        <v>14</v>
      </c>
      <c r="G338" s="23" t="s">
        <v>14</v>
      </c>
      <c r="H338" s="4">
        <f t="shared" ref="H338:H367" si="48">ABS(I338+J338+K338+L338)</f>
        <v>79132.2</v>
      </c>
      <c r="I338" s="4">
        <f>SUM(I339:I343)</f>
        <v>61574</v>
      </c>
      <c r="J338" s="4">
        <f>SUM(J339:J343)</f>
        <v>0</v>
      </c>
      <c r="K338" s="4">
        <f>SUM(K339:K343)</f>
        <v>17558.2</v>
      </c>
      <c r="L338" s="4">
        <f>SUM(L339:L343)</f>
        <v>0</v>
      </c>
      <c r="M338" s="20"/>
      <c r="N338" s="30">
        <f>SUM(N339:N343)</f>
        <v>11973.818339200014</v>
      </c>
    </row>
    <row r="339" spans="1:14" s="76" customFormat="1">
      <c r="A339" s="146"/>
      <c r="B339" s="41" t="s">
        <v>2</v>
      </c>
      <c r="C339" s="15" t="s">
        <v>14</v>
      </c>
      <c r="D339" s="15" t="s">
        <v>14</v>
      </c>
      <c r="E339" s="23" t="s">
        <v>14</v>
      </c>
      <c r="F339" s="75">
        <f>G339/M339</f>
        <v>12999.083902071923</v>
      </c>
      <c r="G339" s="4">
        <v>78213.2</v>
      </c>
      <c r="H339" s="4">
        <f t="shared" si="48"/>
        <v>0</v>
      </c>
      <c r="I339" s="4">
        <v>0</v>
      </c>
      <c r="J339" s="4">
        <v>0</v>
      </c>
      <c r="K339" s="4">
        <v>0</v>
      </c>
      <c r="L339" s="4">
        <v>0</v>
      </c>
      <c r="M339" s="20">
        <v>6.0168239999999997</v>
      </c>
      <c r="N339" s="31">
        <f>H339/M339</f>
        <v>0</v>
      </c>
    </row>
    <row r="340" spans="1:14" s="76" customFormat="1">
      <c r="A340" s="146"/>
      <c r="B340" s="41" t="s">
        <v>0</v>
      </c>
      <c r="C340" s="15" t="s">
        <v>14</v>
      </c>
      <c r="D340" s="15" t="s">
        <v>14</v>
      </c>
      <c r="E340" s="23" t="s">
        <v>14</v>
      </c>
      <c r="F340" s="75">
        <f>G340/M340</f>
        <v>11859.651560361235</v>
      </c>
      <c r="G340" s="4">
        <v>75424.81</v>
      </c>
      <c r="H340" s="4">
        <f t="shared" si="48"/>
        <v>37600</v>
      </c>
      <c r="I340" s="4">
        <v>37600</v>
      </c>
      <c r="J340" s="4">
        <v>0</v>
      </c>
      <c r="K340" s="4">
        <v>0</v>
      </c>
      <c r="L340" s="4">
        <v>0</v>
      </c>
      <c r="M340" s="20">
        <v>6.3597829679999993</v>
      </c>
      <c r="N340" s="31">
        <f>H340/M340</f>
        <v>5912.1514349135578</v>
      </c>
    </row>
    <row r="341" spans="1:14" s="76" customFormat="1">
      <c r="A341" s="146"/>
      <c r="B341" s="41" t="s">
        <v>28</v>
      </c>
      <c r="C341" s="15" t="s">
        <v>14</v>
      </c>
      <c r="D341" s="15" t="s">
        <v>14</v>
      </c>
      <c r="E341" s="23" t="s">
        <v>14</v>
      </c>
      <c r="F341" s="75">
        <f>G341/M341</f>
        <v>6058.7677302381826</v>
      </c>
      <c r="G341" s="4">
        <v>40613.199999999997</v>
      </c>
      <c r="H341" s="4">
        <f t="shared" si="48"/>
        <v>23974</v>
      </c>
      <c r="I341" s="4">
        <v>23974</v>
      </c>
      <c r="J341" s="4">
        <v>0</v>
      </c>
      <c r="K341" s="4">
        <v>0</v>
      </c>
      <c r="L341" s="4">
        <v>0</v>
      </c>
      <c r="M341" s="21">
        <v>6.7032112482719999</v>
      </c>
      <c r="N341" s="31">
        <f>H341/M341</f>
        <v>3576.4947742293193</v>
      </c>
    </row>
    <row r="342" spans="1:14" s="76" customFormat="1">
      <c r="A342" s="146"/>
      <c r="B342" s="41" t="s">
        <v>29</v>
      </c>
      <c r="C342" s="15" t="s">
        <v>14</v>
      </c>
      <c r="D342" s="15" t="s">
        <v>14</v>
      </c>
      <c r="E342" s="23" t="s">
        <v>14</v>
      </c>
      <c r="F342" s="75">
        <f>G342/M342</f>
        <v>2485.1721300571362</v>
      </c>
      <c r="G342" s="4">
        <v>17558.2</v>
      </c>
      <c r="H342" s="4">
        <f t="shared" si="48"/>
        <v>17558.2</v>
      </c>
      <c r="I342" s="4">
        <v>0</v>
      </c>
      <c r="J342" s="4">
        <v>0</v>
      </c>
      <c r="K342" s="4">
        <v>17558.2</v>
      </c>
      <c r="L342" s="4">
        <v>0</v>
      </c>
      <c r="M342" s="21">
        <v>7.0651846556786886</v>
      </c>
      <c r="N342" s="31">
        <f>H342/M342</f>
        <v>2485.1721300571362</v>
      </c>
    </row>
    <row r="343" spans="1:14" s="76" customFormat="1">
      <c r="A343" s="147"/>
      <c r="B343" s="41" t="s">
        <v>30</v>
      </c>
      <c r="C343" s="15" t="s">
        <v>14</v>
      </c>
      <c r="D343" s="15" t="s">
        <v>14</v>
      </c>
      <c r="E343" s="23" t="s">
        <v>14</v>
      </c>
      <c r="F343" s="75">
        <f>G343/M343</f>
        <v>0</v>
      </c>
      <c r="G343" s="4">
        <f>G342-H342</f>
        <v>0</v>
      </c>
      <c r="H343" s="4">
        <f t="shared" si="48"/>
        <v>0</v>
      </c>
      <c r="I343" s="4">
        <v>0</v>
      </c>
      <c r="J343" s="4">
        <v>0</v>
      </c>
      <c r="K343" s="4">
        <v>0</v>
      </c>
      <c r="L343" s="4">
        <v>0</v>
      </c>
      <c r="M343" s="21">
        <v>7.4467046270853379</v>
      </c>
      <c r="N343" s="31">
        <f>H343/M343</f>
        <v>0</v>
      </c>
    </row>
    <row r="344" spans="1:14" s="76" customFormat="1" ht="124.5" customHeight="1">
      <c r="A344" s="145" t="s">
        <v>115</v>
      </c>
      <c r="B344" s="14" t="s">
        <v>111</v>
      </c>
      <c r="C344" s="73" t="s">
        <v>219</v>
      </c>
      <c r="D344" s="73" t="s">
        <v>110</v>
      </c>
      <c r="E344" s="75">
        <v>14147.5</v>
      </c>
      <c r="F344" s="23" t="s">
        <v>14</v>
      </c>
      <c r="G344" s="23" t="s">
        <v>14</v>
      </c>
      <c r="H344" s="75">
        <f t="shared" si="48"/>
        <v>50644.2</v>
      </c>
      <c r="I344" s="4">
        <f>SUM(I345:I349)</f>
        <v>35583.599999999999</v>
      </c>
      <c r="J344" s="4">
        <f>SUM(J345:J349)</f>
        <v>0</v>
      </c>
      <c r="K344" s="4">
        <f>SUM(K345:K349)</f>
        <v>15060.6</v>
      </c>
      <c r="L344" s="4">
        <f>SUM(L345:L349)</f>
        <v>0</v>
      </c>
      <c r="M344" s="20"/>
      <c r="N344" s="30">
        <f>SUM(N345:N349)</f>
        <v>7577.0541052981926</v>
      </c>
    </row>
    <row r="345" spans="1:14" s="76" customFormat="1">
      <c r="A345" s="146"/>
      <c r="B345" s="41" t="s">
        <v>2</v>
      </c>
      <c r="C345" s="15" t="s">
        <v>14</v>
      </c>
      <c r="D345" s="15" t="s">
        <v>14</v>
      </c>
      <c r="E345" s="23" t="s">
        <v>14</v>
      </c>
      <c r="F345" s="75">
        <v>7629.7</v>
      </c>
      <c r="G345" s="75">
        <v>49865.78</v>
      </c>
      <c r="H345" s="75">
        <f t="shared" si="48"/>
        <v>0</v>
      </c>
      <c r="I345" s="4">
        <v>0</v>
      </c>
      <c r="J345" s="4">
        <v>0</v>
      </c>
      <c r="K345" s="4">
        <v>0</v>
      </c>
      <c r="L345" s="4">
        <v>0</v>
      </c>
      <c r="M345" s="20">
        <v>6.0168239999999997</v>
      </c>
      <c r="N345" s="31">
        <f>H345/M345</f>
        <v>0</v>
      </c>
    </row>
    <row r="346" spans="1:14" s="76" customFormat="1">
      <c r="A346" s="146"/>
      <c r="B346" s="41" t="s">
        <v>0</v>
      </c>
      <c r="C346" s="15" t="s">
        <v>14</v>
      </c>
      <c r="D346" s="15" t="s">
        <v>14</v>
      </c>
      <c r="E346" s="23" t="s">
        <v>14</v>
      </c>
      <c r="F346" s="75">
        <v>7629.7</v>
      </c>
      <c r="G346" s="75">
        <v>47609.328000000001</v>
      </c>
      <c r="H346" s="75">
        <f t="shared" si="48"/>
        <v>17000</v>
      </c>
      <c r="I346" s="4">
        <v>17000</v>
      </c>
      <c r="J346" s="4">
        <v>0</v>
      </c>
      <c r="K346" s="4">
        <v>0</v>
      </c>
      <c r="L346" s="4">
        <v>0</v>
      </c>
      <c r="M346" s="20">
        <v>6.3597829679999993</v>
      </c>
      <c r="N346" s="31">
        <f>H346/M346</f>
        <v>2673.0471913173001</v>
      </c>
    </row>
    <row r="347" spans="1:14" s="76" customFormat="1">
      <c r="A347" s="146"/>
      <c r="B347" s="41" t="s">
        <v>28</v>
      </c>
      <c r="C347" s="15" t="s">
        <v>14</v>
      </c>
      <c r="D347" s="15" t="s">
        <v>14</v>
      </c>
      <c r="E347" s="23" t="s">
        <v>14</v>
      </c>
      <c r="F347" s="75">
        <v>4905.3410256410261</v>
      </c>
      <c r="G347" s="75">
        <v>32865.784871794873</v>
      </c>
      <c r="H347" s="75">
        <f t="shared" si="48"/>
        <v>18583.599999999999</v>
      </c>
      <c r="I347" s="4">
        <v>18583.599999999999</v>
      </c>
      <c r="J347" s="4">
        <v>0</v>
      </c>
      <c r="K347" s="4">
        <v>0</v>
      </c>
      <c r="L347" s="4">
        <v>0</v>
      </c>
      <c r="M347" s="21">
        <v>6.7032112482719999</v>
      </c>
      <c r="N347" s="31">
        <f>H347/M347</f>
        <v>2772.3428833890039</v>
      </c>
    </row>
    <row r="348" spans="1:14" s="76" customFormat="1">
      <c r="A348" s="146"/>
      <c r="B348" s="41" t="s">
        <v>29</v>
      </c>
      <c r="C348" s="15" t="s">
        <v>14</v>
      </c>
      <c r="D348" s="15" t="s">
        <v>14</v>
      </c>
      <c r="E348" s="23" t="s">
        <v>14</v>
      </c>
      <c r="F348" s="75">
        <v>2131.6693838499818</v>
      </c>
      <c r="G348" s="75">
        <v>15060.637821756936</v>
      </c>
      <c r="H348" s="75">
        <f t="shared" si="48"/>
        <v>15060.6</v>
      </c>
      <c r="I348" s="4">
        <v>0</v>
      </c>
      <c r="J348" s="4">
        <v>0</v>
      </c>
      <c r="K348" s="4">
        <v>15060.6</v>
      </c>
      <c r="L348" s="4">
        <v>0</v>
      </c>
      <c r="M348" s="21">
        <v>7.0651846556786886</v>
      </c>
      <c r="N348" s="31">
        <f>H348/M348</f>
        <v>2131.6640305918891</v>
      </c>
    </row>
    <row r="349" spans="1:14" s="76" customFormat="1">
      <c r="A349" s="147"/>
      <c r="B349" s="41" t="s">
        <v>30</v>
      </c>
      <c r="C349" s="15" t="s">
        <v>14</v>
      </c>
      <c r="D349" s="15" t="s">
        <v>14</v>
      </c>
      <c r="E349" s="23" t="s">
        <v>14</v>
      </c>
      <c r="F349" s="75">
        <v>0</v>
      </c>
      <c r="G349" s="75">
        <v>0</v>
      </c>
      <c r="H349" s="75">
        <f t="shared" si="48"/>
        <v>0</v>
      </c>
      <c r="I349" s="4">
        <v>0</v>
      </c>
      <c r="J349" s="4">
        <v>0</v>
      </c>
      <c r="K349" s="4">
        <v>0</v>
      </c>
      <c r="L349" s="4">
        <v>0</v>
      </c>
      <c r="M349" s="21">
        <v>7.4467046270853379</v>
      </c>
      <c r="N349" s="31">
        <f>H349/M349</f>
        <v>0</v>
      </c>
    </row>
    <row r="350" spans="1:14" s="76" customFormat="1" ht="133.5" customHeight="1">
      <c r="A350" s="145" t="s">
        <v>116</v>
      </c>
      <c r="B350" s="14" t="s">
        <v>112</v>
      </c>
      <c r="C350" s="73" t="s">
        <v>220</v>
      </c>
      <c r="D350" s="73" t="s">
        <v>113</v>
      </c>
      <c r="E350" s="4">
        <v>15904.2</v>
      </c>
      <c r="F350" s="23" t="s">
        <v>14</v>
      </c>
      <c r="G350" s="23" t="s">
        <v>14</v>
      </c>
      <c r="H350" s="4">
        <f t="shared" si="48"/>
        <v>92524.45</v>
      </c>
      <c r="I350" s="4">
        <f>SUM(I351:I355)</f>
        <v>62215</v>
      </c>
      <c r="J350" s="4">
        <f>SUM(J351:J355)</f>
        <v>0</v>
      </c>
      <c r="K350" s="4">
        <f>SUM(K351:K355)</f>
        <v>30309.449999999997</v>
      </c>
      <c r="L350" s="4">
        <f>SUM(L351:L355)</f>
        <v>0</v>
      </c>
      <c r="M350" s="20"/>
      <c r="N350" s="30">
        <f>SUM(N351:N355)</f>
        <v>13728.484614320972</v>
      </c>
    </row>
    <row r="351" spans="1:14" s="76" customFormat="1">
      <c r="A351" s="146"/>
      <c r="B351" s="41" t="s">
        <v>2</v>
      </c>
      <c r="C351" s="15" t="s">
        <v>14</v>
      </c>
      <c r="D351" s="15" t="s">
        <v>14</v>
      </c>
      <c r="E351" s="23" t="s">
        <v>14</v>
      </c>
      <c r="F351" s="4">
        <v>14460.45</v>
      </c>
      <c r="G351" s="4">
        <f>H350</f>
        <v>92524.45</v>
      </c>
      <c r="H351" s="4">
        <f t="shared" si="48"/>
        <v>8292.65</v>
      </c>
      <c r="I351" s="4">
        <v>0</v>
      </c>
      <c r="J351" s="4">
        <v>0</v>
      </c>
      <c r="K351" s="4">
        <v>8292.65</v>
      </c>
      <c r="L351" s="4">
        <v>0</v>
      </c>
      <c r="M351" s="20">
        <v>6.0168239999999997</v>
      </c>
      <c r="N351" s="31">
        <f>H351/M351</f>
        <v>1378.2437378922834</v>
      </c>
    </row>
    <row r="352" spans="1:14" s="76" customFormat="1">
      <c r="A352" s="146"/>
      <c r="B352" s="41" t="s">
        <v>0</v>
      </c>
      <c r="C352" s="15" t="s">
        <v>14</v>
      </c>
      <c r="D352" s="15" t="s">
        <v>14</v>
      </c>
      <c r="E352" s="23" t="s">
        <v>14</v>
      </c>
      <c r="F352" s="4">
        <v>12435.300000000001</v>
      </c>
      <c r="G352" s="4">
        <f>G351-H351</f>
        <v>84231.8</v>
      </c>
      <c r="H352" s="4">
        <f t="shared" si="48"/>
        <v>27705</v>
      </c>
      <c r="I352" s="4">
        <v>27705</v>
      </c>
      <c r="J352" s="4">
        <v>0</v>
      </c>
      <c r="K352" s="4">
        <v>0</v>
      </c>
      <c r="L352" s="4">
        <v>0</v>
      </c>
      <c r="M352" s="20">
        <v>6.3597829679999993</v>
      </c>
      <c r="N352" s="31">
        <f>H352/M352</f>
        <v>4356.2807314968113</v>
      </c>
    </row>
    <row r="353" spans="1:28" s="76" customFormat="1">
      <c r="A353" s="146"/>
      <c r="B353" s="41" t="s">
        <v>28</v>
      </c>
      <c r="C353" s="15" t="s">
        <v>14</v>
      </c>
      <c r="D353" s="15" t="s">
        <v>14</v>
      </c>
      <c r="E353" s="23" t="s">
        <v>14</v>
      </c>
      <c r="F353" s="4">
        <v>7995.3961538461554</v>
      </c>
      <c r="G353" s="4">
        <f>G352-H352</f>
        <v>56526.8</v>
      </c>
      <c r="H353" s="4">
        <f t="shared" si="48"/>
        <v>20000</v>
      </c>
      <c r="I353" s="4">
        <v>20000</v>
      </c>
      <c r="J353" s="4">
        <v>0</v>
      </c>
      <c r="K353" s="4">
        <v>0</v>
      </c>
      <c r="L353" s="4">
        <v>0</v>
      </c>
      <c r="M353" s="21">
        <v>6.7032112482719999</v>
      </c>
      <c r="N353" s="31">
        <f>H353/M353</f>
        <v>2983.644593500725</v>
      </c>
    </row>
    <row r="354" spans="1:28" s="76" customFormat="1">
      <c r="A354" s="146"/>
      <c r="B354" s="41" t="s">
        <v>29</v>
      </c>
      <c r="C354" s="15" t="s">
        <v>14</v>
      </c>
      <c r="D354" s="15" t="s">
        <v>14</v>
      </c>
      <c r="E354" s="23" t="s">
        <v>14</v>
      </c>
      <c r="F354" s="4">
        <v>5010.3215269804841</v>
      </c>
      <c r="G354" s="4">
        <f>G353-H353</f>
        <v>36526.800000000003</v>
      </c>
      <c r="H354" s="4">
        <f t="shared" si="48"/>
        <v>14510</v>
      </c>
      <c r="I354" s="4">
        <v>14510</v>
      </c>
      <c r="J354" s="4">
        <v>0</v>
      </c>
      <c r="K354" s="4">
        <v>0</v>
      </c>
      <c r="L354" s="4">
        <v>0</v>
      </c>
      <c r="M354" s="21">
        <v>7.0651846556786886</v>
      </c>
      <c r="N354" s="31">
        <f>H354/M354</f>
        <v>2053.7325925851765</v>
      </c>
    </row>
    <row r="355" spans="1:28" s="76" customFormat="1">
      <c r="A355" s="147"/>
      <c r="B355" s="41" t="s">
        <v>30</v>
      </c>
      <c r="C355" s="15" t="s">
        <v>14</v>
      </c>
      <c r="D355" s="15" t="s">
        <v>14</v>
      </c>
      <c r="E355" s="23" t="s">
        <v>14</v>
      </c>
      <c r="F355" s="4">
        <v>2956.5889343953077</v>
      </c>
      <c r="G355" s="4">
        <f>G354-H354</f>
        <v>22016.800000000003</v>
      </c>
      <c r="H355" s="4">
        <f t="shared" si="48"/>
        <v>22016.799999999999</v>
      </c>
      <c r="I355" s="4">
        <v>0</v>
      </c>
      <c r="J355" s="4">
        <v>0</v>
      </c>
      <c r="K355" s="4">
        <v>22016.799999999999</v>
      </c>
      <c r="L355" s="4">
        <v>0</v>
      </c>
      <c r="M355" s="21">
        <v>7.4467046270853379</v>
      </c>
      <c r="N355" s="31">
        <f>H355/M355</f>
        <v>2956.5829588459774</v>
      </c>
    </row>
    <row r="356" spans="1:28" s="76" customFormat="1" ht="111.75" customHeight="1">
      <c r="A356" s="145" t="s">
        <v>117</v>
      </c>
      <c r="B356" s="19" t="s">
        <v>26</v>
      </c>
      <c r="C356" s="9" t="s">
        <v>221</v>
      </c>
      <c r="D356" s="73" t="s">
        <v>209</v>
      </c>
      <c r="E356" s="17">
        <f>F357</f>
        <v>9154.5</v>
      </c>
      <c r="F356" s="23" t="s">
        <v>14</v>
      </c>
      <c r="G356" s="23" t="s">
        <v>14</v>
      </c>
      <c r="H356" s="75">
        <f t="shared" si="48"/>
        <v>29812.501</v>
      </c>
      <c r="I356" s="4">
        <f>SUM(I357:I361)</f>
        <v>0</v>
      </c>
      <c r="J356" s="4">
        <f>SUM(J357:J361)</f>
        <v>0</v>
      </c>
      <c r="K356" s="4">
        <f>SUM(K357:K361)</f>
        <v>29812.501</v>
      </c>
      <c r="L356" s="4">
        <f>SUM(L357:L361)</f>
        <v>0</v>
      </c>
      <c r="M356" s="20"/>
      <c r="N356" s="30">
        <f>SUM(N357:N361)</f>
        <v>4253.3250605221383</v>
      </c>
    </row>
    <row r="357" spans="1:28" s="76" customFormat="1">
      <c r="A357" s="146"/>
      <c r="B357" s="41" t="s">
        <v>2</v>
      </c>
      <c r="C357" s="15" t="s">
        <v>14</v>
      </c>
      <c r="D357" s="15" t="s">
        <v>14</v>
      </c>
      <c r="E357" s="23" t="s">
        <v>14</v>
      </c>
      <c r="F357" s="17">
        <v>9154.5</v>
      </c>
      <c r="G357" s="17">
        <f>H356</f>
        <v>29812.501</v>
      </c>
      <c r="H357" s="75">
        <f>ABS(I357+J357+K357+L357)</f>
        <v>662.92</v>
      </c>
      <c r="I357" s="4">
        <v>0</v>
      </c>
      <c r="J357" s="4">
        <v>0</v>
      </c>
      <c r="K357" s="43">
        <v>662.92</v>
      </c>
      <c r="L357" s="4">
        <v>0</v>
      </c>
      <c r="M357" s="20">
        <v>6.0168239999999997</v>
      </c>
      <c r="N357" s="31">
        <f>H357/M357</f>
        <v>110.1777283164673</v>
      </c>
    </row>
    <row r="358" spans="1:28" s="76" customFormat="1">
      <c r="A358" s="146"/>
      <c r="B358" s="41" t="s">
        <v>0</v>
      </c>
      <c r="C358" s="15" t="s">
        <v>14</v>
      </c>
      <c r="D358" s="15" t="s">
        <v>14</v>
      </c>
      <c r="E358" s="23" t="s">
        <v>14</v>
      </c>
      <c r="F358" s="17">
        <f>G358/M358</f>
        <v>4583.4238600074195</v>
      </c>
      <c r="G358" s="17">
        <f>G357-H357</f>
        <v>29149.581000000002</v>
      </c>
      <c r="H358" s="75">
        <f t="shared" si="48"/>
        <v>90.91</v>
      </c>
      <c r="I358" s="4">
        <v>0</v>
      </c>
      <c r="J358" s="4">
        <v>0</v>
      </c>
      <c r="K358" s="43">
        <v>90.91</v>
      </c>
      <c r="L358" s="4">
        <v>0</v>
      </c>
      <c r="M358" s="20">
        <v>6.3597829679999993</v>
      </c>
      <c r="N358" s="31">
        <f>H358/M358</f>
        <v>14.294512950744455</v>
      </c>
    </row>
    <row r="359" spans="1:28" s="76" customFormat="1">
      <c r="A359" s="146"/>
      <c r="B359" s="41" t="s">
        <v>28</v>
      </c>
      <c r="C359" s="15" t="s">
        <v>14</v>
      </c>
      <c r="D359" s="15" t="s">
        <v>14</v>
      </c>
      <c r="E359" s="23" t="s">
        <v>14</v>
      </c>
      <c r="F359" s="17">
        <f>G359/M359</f>
        <v>4335.0373311733156</v>
      </c>
      <c r="G359" s="17">
        <f>G358-H358</f>
        <v>29058.671000000002</v>
      </c>
      <c r="H359" s="75">
        <f t="shared" si="48"/>
        <v>11569.825000000001</v>
      </c>
      <c r="I359" s="4">
        <v>0</v>
      </c>
      <c r="J359" s="4">
        <v>0</v>
      </c>
      <c r="K359" s="17">
        <v>11569.825000000001</v>
      </c>
      <c r="L359" s="4">
        <v>0</v>
      </c>
      <c r="M359" s="21">
        <v>6.7032112482719999</v>
      </c>
      <c r="N359" s="31">
        <f>H359/M359</f>
        <v>1726.0122904499765</v>
      </c>
    </row>
    <row r="360" spans="1:28" s="76" customFormat="1">
      <c r="A360" s="146"/>
      <c r="B360" s="41" t="s">
        <v>29</v>
      </c>
      <c r="C360" s="15" t="s">
        <v>14</v>
      </c>
      <c r="D360" s="15" t="s">
        <v>14</v>
      </c>
      <c r="E360" s="23" t="s">
        <v>14</v>
      </c>
      <c r="F360" s="17">
        <f>G360/M360</f>
        <v>2475.3558261132248</v>
      </c>
      <c r="G360" s="17">
        <f>G359-H359</f>
        <v>17488.846000000001</v>
      </c>
      <c r="H360" s="75">
        <f t="shared" si="48"/>
        <v>7488.8459999999995</v>
      </c>
      <c r="I360" s="4">
        <v>0</v>
      </c>
      <c r="J360" s="4">
        <v>0</v>
      </c>
      <c r="K360" s="17">
        <v>7488.8459999999995</v>
      </c>
      <c r="L360" s="4">
        <v>0</v>
      </c>
      <c r="M360" s="21">
        <v>7.0651846556786886</v>
      </c>
      <c r="N360" s="31">
        <f>H360/M360</f>
        <v>1059.9646527257842</v>
      </c>
    </row>
    <row r="361" spans="1:28" s="76" customFormat="1">
      <c r="A361" s="147"/>
      <c r="B361" s="41" t="s">
        <v>30</v>
      </c>
      <c r="C361" s="15" t="s">
        <v>14</v>
      </c>
      <c r="D361" s="15" t="s">
        <v>14</v>
      </c>
      <c r="E361" s="23" t="s">
        <v>14</v>
      </c>
      <c r="F361" s="17">
        <f>G361/M361</f>
        <v>1342.8758760791659</v>
      </c>
      <c r="G361" s="17">
        <f>G360-H360</f>
        <v>10000.000000000002</v>
      </c>
      <c r="H361" s="75">
        <f t="shared" si="48"/>
        <v>10000</v>
      </c>
      <c r="I361" s="4">
        <v>0</v>
      </c>
      <c r="J361" s="4">
        <v>0</v>
      </c>
      <c r="K361" s="17">
        <v>10000</v>
      </c>
      <c r="L361" s="4">
        <v>0</v>
      </c>
      <c r="M361" s="21">
        <v>7.4467046270853379</v>
      </c>
      <c r="N361" s="31">
        <f>H361/M361</f>
        <v>1342.8758760791657</v>
      </c>
    </row>
    <row r="362" spans="1:28" s="76" customFormat="1" ht="107.25" customHeight="1">
      <c r="A362" s="145" t="s">
        <v>120</v>
      </c>
      <c r="B362" s="19" t="s">
        <v>27</v>
      </c>
      <c r="C362" s="9" t="s">
        <v>221</v>
      </c>
      <c r="D362" s="73" t="s">
        <v>4</v>
      </c>
      <c r="E362" s="75">
        <v>3653.9</v>
      </c>
      <c r="F362" s="23" t="s">
        <v>14</v>
      </c>
      <c r="G362" s="23" t="s">
        <v>14</v>
      </c>
      <c r="H362" s="75">
        <f t="shared" si="48"/>
        <v>5075.63</v>
      </c>
      <c r="I362" s="4">
        <f>SUM(I363:I367)</f>
        <v>0</v>
      </c>
      <c r="J362" s="4">
        <f>SUM(J363:J367)</f>
        <v>0</v>
      </c>
      <c r="K362" s="4">
        <f>SUM(K363:K367)</f>
        <v>5075.63</v>
      </c>
      <c r="L362" s="4">
        <f>SUM(L363:L367)</f>
        <v>0</v>
      </c>
      <c r="M362" s="20"/>
      <c r="N362" s="30">
        <f>SUM(N363:N367)</f>
        <v>841.09928544970444</v>
      </c>
    </row>
    <row r="363" spans="1:28" s="76" customFormat="1">
      <c r="A363" s="146"/>
      <c r="B363" s="41" t="s">
        <v>2</v>
      </c>
      <c r="C363" s="15" t="s">
        <v>14</v>
      </c>
      <c r="D363" s="15" t="s">
        <v>14</v>
      </c>
      <c r="E363" s="23" t="s">
        <v>14</v>
      </c>
      <c r="F363" s="75">
        <f>G363/M363</f>
        <v>843.57295476816341</v>
      </c>
      <c r="G363" s="75">
        <f>H362</f>
        <v>5075.63</v>
      </c>
      <c r="H363" s="75">
        <f t="shared" si="48"/>
        <v>4799.63</v>
      </c>
      <c r="I363" s="4">
        <v>0</v>
      </c>
      <c r="J363" s="4">
        <v>0</v>
      </c>
      <c r="K363" s="4">
        <v>4799.63</v>
      </c>
      <c r="L363" s="4">
        <v>0</v>
      </c>
      <c r="M363" s="20">
        <v>6.0168239999999997</v>
      </c>
      <c r="N363" s="31">
        <f>H363/M363</f>
        <v>797.70157810831768</v>
      </c>
    </row>
    <row r="364" spans="1:28" s="76" customFormat="1">
      <c r="A364" s="146"/>
      <c r="B364" s="41" t="s">
        <v>0</v>
      </c>
      <c r="C364" s="15" t="s">
        <v>14</v>
      </c>
      <c r="D364" s="15" t="s">
        <v>14</v>
      </c>
      <c r="E364" s="23" t="s">
        <v>14</v>
      </c>
      <c r="F364" s="75">
        <f>G364/M364</f>
        <v>43.397707341386756</v>
      </c>
      <c r="G364" s="75">
        <f>G363-H363</f>
        <v>276</v>
      </c>
      <c r="H364" s="75">
        <f t="shared" si="48"/>
        <v>276</v>
      </c>
      <c r="I364" s="4">
        <v>0</v>
      </c>
      <c r="J364" s="4">
        <v>0</v>
      </c>
      <c r="K364" s="4">
        <v>276</v>
      </c>
      <c r="L364" s="4">
        <v>0</v>
      </c>
      <c r="M364" s="20">
        <v>6.3597829679999993</v>
      </c>
      <c r="N364" s="31">
        <f>H364/M364</f>
        <v>43.397707341386756</v>
      </c>
    </row>
    <row r="365" spans="1:28" s="76" customFormat="1">
      <c r="A365" s="146"/>
      <c r="B365" s="41" t="s">
        <v>28</v>
      </c>
      <c r="C365" s="15" t="s">
        <v>14</v>
      </c>
      <c r="D365" s="15" t="s">
        <v>14</v>
      </c>
      <c r="E365" s="23" t="s">
        <v>14</v>
      </c>
      <c r="F365" s="75">
        <v>0</v>
      </c>
      <c r="G365" s="75">
        <v>0</v>
      </c>
      <c r="H365" s="75">
        <f t="shared" si="48"/>
        <v>0</v>
      </c>
      <c r="I365" s="4">
        <v>0</v>
      </c>
      <c r="J365" s="4">
        <v>0</v>
      </c>
      <c r="K365" s="4">
        <v>0</v>
      </c>
      <c r="L365" s="4">
        <v>0</v>
      </c>
      <c r="M365" s="21">
        <v>6.7032112482719999</v>
      </c>
      <c r="N365" s="31">
        <f>H365/M365</f>
        <v>0</v>
      </c>
    </row>
    <row r="366" spans="1:28" s="76" customFormat="1">
      <c r="A366" s="146"/>
      <c r="B366" s="41" t="s">
        <v>29</v>
      </c>
      <c r="C366" s="15" t="s">
        <v>14</v>
      </c>
      <c r="D366" s="15" t="s">
        <v>14</v>
      </c>
      <c r="E366" s="23" t="s">
        <v>14</v>
      </c>
      <c r="F366" s="75">
        <v>0</v>
      </c>
      <c r="G366" s="75">
        <v>0</v>
      </c>
      <c r="H366" s="75">
        <f t="shared" si="48"/>
        <v>0</v>
      </c>
      <c r="I366" s="4">
        <v>0</v>
      </c>
      <c r="J366" s="4">
        <v>0</v>
      </c>
      <c r="K366" s="4">
        <v>0</v>
      </c>
      <c r="L366" s="4">
        <v>0</v>
      </c>
      <c r="M366" s="21">
        <v>7.0651846556786886</v>
      </c>
      <c r="N366" s="31">
        <f>H366/M366</f>
        <v>0</v>
      </c>
    </row>
    <row r="367" spans="1:28" s="76" customFormat="1">
      <c r="A367" s="147"/>
      <c r="B367" s="41" t="s">
        <v>30</v>
      </c>
      <c r="C367" s="15" t="s">
        <v>14</v>
      </c>
      <c r="D367" s="15" t="s">
        <v>14</v>
      </c>
      <c r="E367" s="23" t="s">
        <v>14</v>
      </c>
      <c r="F367" s="75">
        <v>0</v>
      </c>
      <c r="G367" s="75">
        <v>0</v>
      </c>
      <c r="H367" s="75">
        <f t="shared" si="48"/>
        <v>0</v>
      </c>
      <c r="I367" s="4">
        <v>0</v>
      </c>
      <c r="J367" s="4">
        <v>0</v>
      </c>
      <c r="K367" s="4">
        <v>0</v>
      </c>
      <c r="L367" s="4">
        <v>0</v>
      </c>
      <c r="M367" s="21">
        <v>7.4467046270853379</v>
      </c>
      <c r="N367" s="31">
        <f>H367/M367</f>
        <v>0</v>
      </c>
    </row>
    <row r="368" spans="1:28" s="6" customFormat="1" ht="130.5" customHeight="1">
      <c r="A368" s="142" t="s">
        <v>99</v>
      </c>
      <c r="B368" s="77" t="s">
        <v>173</v>
      </c>
      <c r="C368" s="67" t="s">
        <v>15</v>
      </c>
      <c r="D368" s="24" t="s">
        <v>172</v>
      </c>
      <c r="E368" s="4">
        <f>W368</f>
        <v>104185.47588909141</v>
      </c>
      <c r="F368" s="23" t="s">
        <v>14</v>
      </c>
      <c r="G368" s="23" t="s">
        <v>14</v>
      </c>
      <c r="H368" s="78">
        <f t="shared" ref="H368:H403" si="49">I368+J368+K368+L368</f>
        <v>723477.5</v>
      </c>
      <c r="I368" s="4">
        <f>I369+I370+I371+I372+I373</f>
        <v>0</v>
      </c>
      <c r="J368" s="4">
        <f>J369+J370+J371+J372+J373</f>
        <v>0</v>
      </c>
      <c r="K368" s="4">
        <f>K369+K370+K371+K372+K373</f>
        <v>666800</v>
      </c>
      <c r="L368" s="4">
        <f>L369+L370+L371+L372+L373</f>
        <v>56677.5</v>
      </c>
      <c r="M368" s="20"/>
      <c r="N368" s="30">
        <f>SUM(N369:N373)</f>
        <v>104126.25796109936</v>
      </c>
      <c r="O368" s="79"/>
      <c r="P368" s="79"/>
      <c r="Q368" s="79"/>
      <c r="R368" s="79"/>
      <c r="S368" s="79"/>
      <c r="T368" s="79"/>
      <c r="U368" s="79"/>
      <c r="V368" s="68"/>
      <c r="W368" s="30">
        <f>W369+W370+W371+W372+W373</f>
        <v>104185.47588909141</v>
      </c>
      <c r="Z368" s="80"/>
      <c r="AA368" s="7"/>
      <c r="AB368" s="7"/>
    </row>
    <row r="369" spans="1:28" s="6" customFormat="1">
      <c r="A369" s="143"/>
      <c r="B369" s="19" t="s">
        <v>19</v>
      </c>
      <c r="C369" s="24" t="s">
        <v>14</v>
      </c>
      <c r="D369" s="24" t="s">
        <v>14</v>
      </c>
      <c r="E369" s="23" t="s">
        <v>14</v>
      </c>
      <c r="F369" s="4">
        <v>0</v>
      </c>
      <c r="G369" s="4">
        <v>0</v>
      </c>
      <c r="H369" s="78">
        <f t="shared" si="49"/>
        <v>0</v>
      </c>
      <c r="I369" s="78">
        <v>0</v>
      </c>
      <c r="J369" s="78">
        <v>0</v>
      </c>
      <c r="K369" s="78">
        <v>0</v>
      </c>
      <c r="L369" s="78">
        <v>0</v>
      </c>
      <c r="M369" s="20">
        <v>6.0168239999999997</v>
      </c>
      <c r="N369" s="31">
        <f>H369/M369</f>
        <v>0</v>
      </c>
      <c r="O369" s="79"/>
      <c r="P369" s="79"/>
      <c r="Q369" s="79"/>
      <c r="R369" s="79"/>
      <c r="S369" s="79"/>
      <c r="T369" s="79"/>
      <c r="U369" s="79"/>
      <c r="V369" s="68">
        <v>5.4316964175493174</v>
      </c>
      <c r="W369" s="31">
        <f>H369/V369</f>
        <v>0</v>
      </c>
      <c r="Z369" s="80"/>
      <c r="AA369" s="7"/>
      <c r="AB369" s="7"/>
    </row>
    <row r="370" spans="1:28" s="6" customFormat="1">
      <c r="A370" s="143"/>
      <c r="B370" s="19" t="s">
        <v>20</v>
      </c>
      <c r="C370" s="24" t="s">
        <v>14</v>
      </c>
      <c r="D370" s="24" t="s">
        <v>14</v>
      </c>
      <c r="E370" s="23" t="s">
        <v>14</v>
      </c>
      <c r="F370" s="4">
        <f>G370/V370</f>
        <v>115941.90705128205</v>
      </c>
      <c r="G370" s="4">
        <f>H368</f>
        <v>723477.5</v>
      </c>
      <c r="H370" s="78">
        <f t="shared" si="49"/>
        <v>15000</v>
      </c>
      <c r="I370" s="78">
        <v>0</v>
      </c>
      <c r="J370" s="78">
        <v>0</v>
      </c>
      <c r="K370" s="78">
        <v>15000</v>
      </c>
      <c r="L370" s="78">
        <v>0</v>
      </c>
      <c r="M370" s="20">
        <v>6.3597829679999993</v>
      </c>
      <c r="N370" s="31">
        <f>H370/M370</f>
        <v>2358.5710511623233</v>
      </c>
      <c r="O370" s="79"/>
      <c r="P370" s="79"/>
      <c r="Q370" s="79"/>
      <c r="R370" s="79"/>
      <c r="S370" s="79"/>
      <c r="T370" s="79"/>
      <c r="U370" s="79"/>
      <c r="V370" s="68">
        <v>6.24</v>
      </c>
      <c r="W370" s="31">
        <f>H370/V370</f>
        <v>2403.8461538461538</v>
      </c>
      <c r="Z370" s="80"/>
      <c r="AA370" s="7"/>
      <c r="AB370" s="7"/>
    </row>
    <row r="371" spans="1:28" s="6" customFormat="1">
      <c r="A371" s="143"/>
      <c r="B371" s="19" t="s">
        <v>28</v>
      </c>
      <c r="C371" s="24" t="s">
        <v>14</v>
      </c>
      <c r="D371" s="24" t="s">
        <v>14</v>
      </c>
      <c r="E371" s="23" t="s">
        <v>14</v>
      </c>
      <c r="F371" s="4">
        <f>G371/V371</f>
        <v>105742.9104477612</v>
      </c>
      <c r="G371" s="4">
        <f>G370-H370</f>
        <v>708477.5</v>
      </c>
      <c r="H371" s="78">
        <f t="shared" si="49"/>
        <v>195000</v>
      </c>
      <c r="I371" s="78">
        <v>0</v>
      </c>
      <c r="J371" s="78">
        <v>0</v>
      </c>
      <c r="K371" s="78">
        <f>180000+15000</f>
        <v>195000</v>
      </c>
      <c r="L371" s="78">
        <v>0</v>
      </c>
      <c r="M371" s="21">
        <v>6.7032112482719999</v>
      </c>
      <c r="N371" s="31">
        <f>H371/M371</f>
        <v>29090.53478663207</v>
      </c>
      <c r="O371" s="79"/>
      <c r="P371" s="79"/>
      <c r="Q371" s="79"/>
      <c r="R371" s="79"/>
      <c r="S371" s="79"/>
      <c r="T371" s="79"/>
      <c r="U371" s="79"/>
      <c r="V371" s="72">
        <v>6.7</v>
      </c>
      <c r="W371" s="31">
        <f t="shared" ref="W371:W403" si="50">H371/V371</f>
        <v>29104.4776119403</v>
      </c>
      <c r="Z371" s="80"/>
      <c r="AA371" s="7"/>
      <c r="AB371" s="7"/>
    </row>
    <row r="372" spans="1:28" s="6" customFormat="1">
      <c r="A372" s="143"/>
      <c r="B372" s="19" t="s">
        <v>29</v>
      </c>
      <c r="C372" s="24" t="s">
        <v>14</v>
      </c>
      <c r="D372" s="24" t="s">
        <v>14</v>
      </c>
      <c r="E372" s="23" t="s">
        <v>14</v>
      </c>
      <c r="F372" s="4">
        <f>G372/V372</f>
        <v>72677.152123304957</v>
      </c>
      <c r="G372" s="4">
        <f>G371-H371</f>
        <v>513477.5</v>
      </c>
      <c r="H372" s="78">
        <f t="shared" si="49"/>
        <v>513477.5</v>
      </c>
      <c r="I372" s="78">
        <v>0</v>
      </c>
      <c r="J372" s="78">
        <v>0</v>
      </c>
      <c r="K372" s="78">
        <f>400000+28400+28400</f>
        <v>456800</v>
      </c>
      <c r="L372" s="78">
        <v>56677.5</v>
      </c>
      <c r="M372" s="21">
        <v>7.0651846556786886</v>
      </c>
      <c r="N372" s="31">
        <f>H372/M372</f>
        <v>72677.152123304957</v>
      </c>
      <c r="O372" s="79"/>
      <c r="P372" s="79"/>
      <c r="Q372" s="79"/>
      <c r="R372" s="79"/>
      <c r="S372" s="79"/>
      <c r="T372" s="79"/>
      <c r="U372" s="79"/>
      <c r="V372" s="72">
        <v>7.0651846556786886</v>
      </c>
      <c r="W372" s="31">
        <f t="shared" si="50"/>
        <v>72677.152123304957</v>
      </c>
      <c r="Z372" s="80"/>
      <c r="AA372" s="7"/>
      <c r="AB372" s="7"/>
    </row>
    <row r="373" spans="1:28" s="6" customFormat="1">
      <c r="A373" s="144"/>
      <c r="B373" s="19" t="s">
        <v>30</v>
      </c>
      <c r="C373" s="24" t="s">
        <v>14</v>
      </c>
      <c r="D373" s="24" t="s">
        <v>14</v>
      </c>
      <c r="E373" s="23" t="s">
        <v>14</v>
      </c>
      <c r="F373" s="4">
        <v>0</v>
      </c>
      <c r="G373" s="4">
        <f>G372-H372</f>
        <v>0</v>
      </c>
      <c r="H373" s="78">
        <f t="shared" si="49"/>
        <v>0</v>
      </c>
      <c r="I373" s="78">
        <v>0</v>
      </c>
      <c r="J373" s="78">
        <v>0</v>
      </c>
      <c r="K373" s="78">
        <v>0</v>
      </c>
      <c r="L373" s="78">
        <v>0</v>
      </c>
      <c r="M373" s="21">
        <v>7.4467046270853379</v>
      </c>
      <c r="N373" s="31">
        <f>H373/M373</f>
        <v>0</v>
      </c>
      <c r="O373" s="79"/>
      <c r="P373" s="79"/>
      <c r="Q373" s="79"/>
      <c r="R373" s="79"/>
      <c r="S373" s="79"/>
      <c r="T373" s="79"/>
      <c r="U373" s="79"/>
      <c r="V373" s="72">
        <v>7.4467046270853379</v>
      </c>
      <c r="W373" s="31">
        <f t="shared" si="50"/>
        <v>0</v>
      </c>
      <c r="Z373" s="80"/>
      <c r="AA373" s="7"/>
      <c r="AB373" s="7"/>
    </row>
    <row r="374" spans="1:28" s="6" customFormat="1" ht="127.5" customHeight="1">
      <c r="A374" s="142" t="s">
        <v>100</v>
      </c>
      <c r="B374" s="77" t="s">
        <v>150</v>
      </c>
      <c r="C374" s="67" t="s">
        <v>15</v>
      </c>
      <c r="D374" s="24" t="s">
        <v>106</v>
      </c>
      <c r="E374" s="4">
        <v>2001.9784248962605</v>
      </c>
      <c r="F374" s="23" t="s">
        <v>14</v>
      </c>
      <c r="G374" s="23" t="s">
        <v>14</v>
      </c>
      <c r="H374" s="78">
        <f t="shared" si="49"/>
        <v>14510</v>
      </c>
      <c r="I374" s="78">
        <f>SUM(I375:I379)</f>
        <v>0</v>
      </c>
      <c r="J374" s="78">
        <f>SUM(J375:J379)</f>
        <v>0</v>
      </c>
      <c r="K374" s="78">
        <f>SUM(K375:K379)</f>
        <v>145.1</v>
      </c>
      <c r="L374" s="78">
        <f>SUM(L375:L379)</f>
        <v>14364.9</v>
      </c>
      <c r="M374" s="20"/>
      <c r="N374" s="30">
        <f>SUM(N375:N379)</f>
        <v>2001.9784248962605</v>
      </c>
      <c r="O374" s="79"/>
      <c r="P374" s="79"/>
      <c r="Q374" s="79"/>
      <c r="R374" s="79"/>
      <c r="S374" s="79"/>
      <c r="T374" s="79"/>
      <c r="U374" s="79"/>
      <c r="V374" s="68"/>
      <c r="W374" s="30">
        <f>W375+W376+W377+W378+W379</f>
        <v>2001.9784248962605</v>
      </c>
      <c r="Z374" s="80"/>
      <c r="AA374" s="7"/>
      <c r="AB374" s="7"/>
    </row>
    <row r="375" spans="1:28" s="6" customFormat="1">
      <c r="A375" s="143"/>
      <c r="B375" s="19" t="s">
        <v>19</v>
      </c>
      <c r="C375" s="24" t="s">
        <v>14</v>
      </c>
      <c r="D375" s="24" t="s">
        <v>14</v>
      </c>
      <c r="E375" s="23" t="s">
        <v>14</v>
      </c>
      <c r="F375" s="4">
        <v>0</v>
      </c>
      <c r="G375" s="4">
        <v>0</v>
      </c>
      <c r="H375" s="78">
        <f t="shared" si="49"/>
        <v>0</v>
      </c>
      <c r="I375" s="78">
        <v>0</v>
      </c>
      <c r="J375" s="78">
        <v>0</v>
      </c>
      <c r="K375" s="78">
        <v>0</v>
      </c>
      <c r="L375" s="78">
        <v>0</v>
      </c>
      <c r="M375" s="20">
        <v>6.0168239999999997</v>
      </c>
      <c r="N375" s="31">
        <f>H375/M375</f>
        <v>0</v>
      </c>
      <c r="O375" s="79"/>
      <c r="P375" s="79"/>
      <c r="Q375" s="79"/>
      <c r="R375" s="79"/>
      <c r="S375" s="79"/>
      <c r="T375" s="79"/>
      <c r="U375" s="79"/>
      <c r="V375" s="68">
        <v>5.4316964175493174</v>
      </c>
      <c r="W375" s="31">
        <f>H375/V375</f>
        <v>0</v>
      </c>
      <c r="Z375" s="80"/>
      <c r="AA375" s="7"/>
      <c r="AB375" s="7"/>
    </row>
    <row r="376" spans="1:28" s="6" customFormat="1">
      <c r="A376" s="143"/>
      <c r="B376" s="19" t="s">
        <v>20</v>
      </c>
      <c r="C376" s="24" t="s">
        <v>14</v>
      </c>
      <c r="D376" s="24" t="s">
        <v>14</v>
      </c>
      <c r="E376" s="23" t="s">
        <v>14</v>
      </c>
      <c r="F376" s="4">
        <v>0</v>
      </c>
      <c r="G376" s="4">
        <v>0</v>
      </c>
      <c r="H376" s="78">
        <f t="shared" si="49"/>
        <v>0</v>
      </c>
      <c r="I376" s="78">
        <v>0</v>
      </c>
      <c r="J376" s="78">
        <v>0</v>
      </c>
      <c r="K376" s="78">
        <v>0</v>
      </c>
      <c r="L376" s="78">
        <v>0</v>
      </c>
      <c r="M376" s="20">
        <v>6.3597829679999993</v>
      </c>
      <c r="N376" s="31">
        <f>H376/M376</f>
        <v>0</v>
      </c>
      <c r="O376" s="79"/>
      <c r="P376" s="79"/>
      <c r="Q376" s="79"/>
      <c r="R376" s="79"/>
      <c r="S376" s="79"/>
      <c r="T376" s="79"/>
      <c r="U376" s="79"/>
      <c r="V376" s="68">
        <v>6.24</v>
      </c>
      <c r="W376" s="31">
        <f t="shared" si="50"/>
        <v>0</v>
      </c>
      <c r="Z376" s="80"/>
      <c r="AA376" s="7"/>
      <c r="AB376" s="7"/>
    </row>
    <row r="377" spans="1:28" s="6" customFormat="1">
      <c r="A377" s="143"/>
      <c r="B377" s="19" t="s">
        <v>28</v>
      </c>
      <c r="C377" s="24" t="s">
        <v>14</v>
      </c>
      <c r="D377" s="24" t="s">
        <v>14</v>
      </c>
      <c r="E377" s="23" t="s">
        <v>14</v>
      </c>
      <c r="F377" s="4">
        <v>0</v>
      </c>
      <c r="G377" s="4">
        <v>0</v>
      </c>
      <c r="H377" s="78">
        <f t="shared" si="49"/>
        <v>0</v>
      </c>
      <c r="I377" s="78">
        <v>0</v>
      </c>
      <c r="J377" s="78">
        <v>0</v>
      </c>
      <c r="K377" s="78">
        <v>0</v>
      </c>
      <c r="L377" s="78">
        <v>0</v>
      </c>
      <c r="M377" s="21">
        <v>6.7032112482719999</v>
      </c>
      <c r="N377" s="31">
        <f>H377/M377</f>
        <v>0</v>
      </c>
      <c r="O377" s="79"/>
      <c r="P377" s="79"/>
      <c r="Q377" s="79"/>
      <c r="R377" s="79"/>
      <c r="S377" s="79"/>
      <c r="T377" s="79"/>
      <c r="U377" s="79"/>
      <c r="V377" s="72">
        <v>6.7</v>
      </c>
      <c r="W377" s="31">
        <f t="shared" si="50"/>
        <v>0</v>
      </c>
      <c r="Z377" s="80"/>
      <c r="AA377" s="7"/>
      <c r="AB377" s="7"/>
    </row>
    <row r="378" spans="1:28" s="6" customFormat="1">
      <c r="A378" s="143"/>
      <c r="B378" s="19" t="s">
        <v>29</v>
      </c>
      <c r="C378" s="24" t="s">
        <v>14</v>
      </c>
      <c r="D378" s="24" t="s">
        <v>14</v>
      </c>
      <c r="E378" s="23" t="s">
        <v>14</v>
      </c>
      <c r="F378" s="4">
        <v>2001.9784248962605</v>
      </c>
      <c r="G378" s="4">
        <v>14510</v>
      </c>
      <c r="H378" s="78">
        <f t="shared" si="49"/>
        <v>7373</v>
      </c>
      <c r="I378" s="78">
        <v>0</v>
      </c>
      <c r="J378" s="78">
        <v>0</v>
      </c>
      <c r="K378" s="78">
        <v>73</v>
      </c>
      <c r="L378" s="78">
        <v>7300</v>
      </c>
      <c r="M378" s="21">
        <v>7.0651846556786886</v>
      </c>
      <c r="N378" s="31">
        <f>H378/M378</f>
        <v>1043.5679121385599</v>
      </c>
      <c r="O378" s="79"/>
      <c r="P378" s="79"/>
      <c r="Q378" s="79"/>
      <c r="R378" s="79"/>
      <c r="S378" s="79"/>
      <c r="T378" s="79"/>
      <c r="U378" s="79"/>
      <c r="V378" s="72">
        <v>7.0651846556786886</v>
      </c>
      <c r="W378" s="31">
        <f t="shared" si="50"/>
        <v>1043.5679121385599</v>
      </c>
      <c r="Z378" s="80"/>
      <c r="AA378" s="7"/>
      <c r="AB378" s="7"/>
    </row>
    <row r="379" spans="1:28" s="6" customFormat="1">
      <c r="A379" s="144"/>
      <c r="B379" s="19" t="s">
        <v>30</v>
      </c>
      <c r="C379" s="24" t="s">
        <v>14</v>
      </c>
      <c r="D379" s="24" t="s">
        <v>14</v>
      </c>
      <c r="E379" s="23" t="s">
        <v>14</v>
      </c>
      <c r="F379" s="4">
        <v>958.41051275770064</v>
      </c>
      <c r="G379" s="4">
        <v>7137</v>
      </c>
      <c r="H379" s="78">
        <f t="shared" si="49"/>
        <v>7137</v>
      </c>
      <c r="I379" s="78">
        <v>0</v>
      </c>
      <c r="J379" s="78">
        <v>0</v>
      </c>
      <c r="K379" s="78">
        <v>72.099999999999994</v>
      </c>
      <c r="L379" s="78">
        <v>7064.9</v>
      </c>
      <c r="M379" s="21">
        <v>7.4467046270853379</v>
      </c>
      <c r="N379" s="31">
        <f>H379/M379</f>
        <v>958.41051275770053</v>
      </c>
      <c r="O379" s="79"/>
      <c r="P379" s="79"/>
      <c r="Q379" s="79"/>
      <c r="R379" s="79"/>
      <c r="S379" s="79"/>
      <c r="T379" s="79"/>
      <c r="U379" s="79"/>
      <c r="V379" s="72">
        <v>7.4467046270853379</v>
      </c>
      <c r="W379" s="31">
        <f t="shared" si="50"/>
        <v>958.41051275770053</v>
      </c>
      <c r="Z379" s="80"/>
      <c r="AA379" s="7"/>
      <c r="AB379" s="7"/>
    </row>
    <row r="380" spans="1:28" s="6" customFormat="1" ht="140.25" customHeight="1">
      <c r="A380" s="142" t="s">
        <v>101</v>
      </c>
      <c r="B380" s="81" t="s">
        <v>151</v>
      </c>
      <c r="C380" s="67" t="s">
        <v>15</v>
      </c>
      <c r="D380" s="24" t="s">
        <v>106</v>
      </c>
      <c r="E380" s="4">
        <v>10387.699025773853</v>
      </c>
      <c r="F380" s="23" t="s">
        <v>14</v>
      </c>
      <c r="G380" s="23" t="s">
        <v>14</v>
      </c>
      <c r="H380" s="78">
        <f t="shared" si="49"/>
        <v>75279.955999999991</v>
      </c>
      <c r="I380" s="78">
        <f>SUM(I381:I385)</f>
        <v>0</v>
      </c>
      <c r="J380" s="78">
        <f>SUM(J381:J385)</f>
        <v>0</v>
      </c>
      <c r="K380" s="78">
        <f>SUM(K381:K385)</f>
        <v>752.8</v>
      </c>
      <c r="L380" s="78">
        <f>SUM(L381:L385)</f>
        <v>74527.155999999988</v>
      </c>
      <c r="M380" s="20"/>
      <c r="N380" s="30">
        <f>SUM(N381:N385)</f>
        <v>10387.706748921588</v>
      </c>
      <c r="O380" s="79"/>
      <c r="P380" s="79"/>
      <c r="Q380" s="79"/>
      <c r="R380" s="79"/>
      <c r="S380" s="79"/>
      <c r="T380" s="79"/>
      <c r="U380" s="79"/>
      <c r="V380" s="68"/>
      <c r="W380" s="30">
        <f>W381+W382+W383+W384+W385</f>
        <v>10387.706748921588</v>
      </c>
      <c r="Z380" s="80"/>
      <c r="AA380" s="7"/>
      <c r="AB380" s="7"/>
    </row>
    <row r="381" spans="1:28" s="6" customFormat="1">
      <c r="A381" s="143"/>
      <c r="B381" s="19" t="s">
        <v>19</v>
      </c>
      <c r="C381" s="24" t="s">
        <v>14</v>
      </c>
      <c r="D381" s="24" t="s">
        <v>14</v>
      </c>
      <c r="E381" s="23" t="s">
        <v>14</v>
      </c>
      <c r="F381" s="4">
        <v>0</v>
      </c>
      <c r="G381" s="4">
        <v>0</v>
      </c>
      <c r="H381" s="78">
        <f t="shared" si="49"/>
        <v>0</v>
      </c>
      <c r="I381" s="78">
        <v>0</v>
      </c>
      <c r="J381" s="78">
        <v>0</v>
      </c>
      <c r="K381" s="78">
        <v>0</v>
      </c>
      <c r="L381" s="78">
        <v>0</v>
      </c>
      <c r="M381" s="20">
        <v>6.0168239999999997</v>
      </c>
      <c r="N381" s="31">
        <f>H381/M381</f>
        <v>0</v>
      </c>
      <c r="O381" s="79"/>
      <c r="P381" s="79"/>
      <c r="Q381" s="79"/>
      <c r="R381" s="79"/>
      <c r="S381" s="79"/>
      <c r="T381" s="79"/>
      <c r="U381" s="79"/>
      <c r="V381" s="68">
        <v>5.4316964175493174</v>
      </c>
      <c r="W381" s="31">
        <f>H381/V381</f>
        <v>0</v>
      </c>
      <c r="Z381" s="80"/>
      <c r="AA381" s="7"/>
      <c r="AB381" s="7"/>
    </row>
    <row r="382" spans="1:28" s="6" customFormat="1">
      <c r="A382" s="143"/>
      <c r="B382" s="19" t="s">
        <v>20</v>
      </c>
      <c r="C382" s="24" t="s">
        <v>14</v>
      </c>
      <c r="D382" s="24" t="s">
        <v>14</v>
      </c>
      <c r="E382" s="23" t="s">
        <v>14</v>
      </c>
      <c r="F382" s="4">
        <v>0</v>
      </c>
      <c r="G382" s="4">
        <v>0</v>
      </c>
      <c r="H382" s="78">
        <f t="shared" si="49"/>
        <v>0</v>
      </c>
      <c r="I382" s="78">
        <v>0</v>
      </c>
      <c r="J382" s="78">
        <v>0</v>
      </c>
      <c r="K382" s="78">
        <v>0</v>
      </c>
      <c r="L382" s="78">
        <v>0</v>
      </c>
      <c r="M382" s="20">
        <v>6.3597829679999993</v>
      </c>
      <c r="N382" s="31">
        <f>H382/M382</f>
        <v>0</v>
      </c>
      <c r="O382" s="79"/>
      <c r="P382" s="79"/>
      <c r="Q382" s="79"/>
      <c r="R382" s="79"/>
      <c r="S382" s="79"/>
      <c r="T382" s="79"/>
      <c r="U382" s="79"/>
      <c r="V382" s="68">
        <v>6.24</v>
      </c>
      <c r="W382" s="31">
        <f t="shared" si="50"/>
        <v>0</v>
      </c>
      <c r="Z382" s="80"/>
      <c r="AA382" s="7"/>
      <c r="AB382" s="7"/>
    </row>
    <row r="383" spans="1:28" s="6" customFormat="1">
      <c r="A383" s="143"/>
      <c r="B383" s="19" t="s">
        <v>28</v>
      </c>
      <c r="C383" s="24" t="s">
        <v>14</v>
      </c>
      <c r="D383" s="24" t="s">
        <v>14</v>
      </c>
      <c r="E383" s="23" t="s">
        <v>14</v>
      </c>
      <c r="F383" s="4">
        <v>0</v>
      </c>
      <c r="G383" s="4">
        <v>0</v>
      </c>
      <c r="H383" s="78">
        <f t="shared" si="49"/>
        <v>0</v>
      </c>
      <c r="I383" s="78">
        <v>0</v>
      </c>
      <c r="J383" s="78">
        <v>0</v>
      </c>
      <c r="K383" s="78">
        <v>0</v>
      </c>
      <c r="L383" s="78">
        <v>0</v>
      </c>
      <c r="M383" s="21">
        <v>6.7032112482719999</v>
      </c>
      <c r="N383" s="31">
        <f>H383/M383</f>
        <v>0</v>
      </c>
      <c r="O383" s="79"/>
      <c r="P383" s="79"/>
      <c r="Q383" s="79"/>
      <c r="R383" s="79"/>
      <c r="S383" s="79"/>
      <c r="T383" s="79"/>
      <c r="U383" s="79"/>
      <c r="V383" s="72">
        <v>6.7</v>
      </c>
      <c r="W383" s="31">
        <f t="shared" si="50"/>
        <v>0</v>
      </c>
      <c r="Z383" s="80"/>
      <c r="AA383" s="7"/>
      <c r="AB383" s="7"/>
    </row>
    <row r="384" spans="1:28" s="6" customFormat="1">
      <c r="A384" s="143"/>
      <c r="B384" s="19" t="s">
        <v>29</v>
      </c>
      <c r="C384" s="24" t="s">
        <v>14</v>
      </c>
      <c r="D384" s="24" t="s">
        <v>14</v>
      </c>
      <c r="E384" s="23" t="s">
        <v>14</v>
      </c>
      <c r="F384" s="4">
        <v>10655.050599348921</v>
      </c>
      <c r="G384" s="4">
        <v>75279.900000000009</v>
      </c>
      <c r="H384" s="78">
        <f t="shared" si="49"/>
        <v>38411.627999999997</v>
      </c>
      <c r="I384" s="78">
        <v>0</v>
      </c>
      <c r="J384" s="78">
        <v>0</v>
      </c>
      <c r="K384" s="78">
        <f>200+202.8</f>
        <v>402.8</v>
      </c>
      <c r="L384" s="78">
        <f>17886.528+20122.3</f>
        <v>38008.827999999994</v>
      </c>
      <c r="M384" s="21">
        <v>7.0651846556786886</v>
      </c>
      <c r="N384" s="31">
        <f>H384/M384</f>
        <v>5436.7479226641863</v>
      </c>
      <c r="O384" s="79"/>
      <c r="P384" s="79"/>
      <c r="Q384" s="79"/>
      <c r="R384" s="79"/>
      <c r="S384" s="79"/>
      <c r="T384" s="79"/>
      <c r="U384" s="79"/>
      <c r="V384" s="72">
        <v>7.0651846556786886</v>
      </c>
      <c r="W384" s="31">
        <f t="shared" si="50"/>
        <v>5436.7479226641863</v>
      </c>
      <c r="Z384" s="80"/>
      <c r="AA384" s="7"/>
      <c r="AB384" s="7"/>
    </row>
    <row r="385" spans="1:28" s="6" customFormat="1">
      <c r="A385" s="144"/>
      <c r="B385" s="19" t="s">
        <v>30</v>
      </c>
      <c r="C385" s="24" t="s">
        <v>14</v>
      </c>
      <c r="D385" s="24" t="s">
        <v>14</v>
      </c>
      <c r="E385" s="23" t="s">
        <v>14</v>
      </c>
      <c r="F385" s="4">
        <v>4950.9550662049505</v>
      </c>
      <c r="G385" s="4">
        <v>36868.300000000003</v>
      </c>
      <c r="H385" s="78">
        <f t="shared" si="49"/>
        <v>36868.327999999994</v>
      </c>
      <c r="I385" s="78">
        <v>0</v>
      </c>
      <c r="J385" s="78">
        <v>0</v>
      </c>
      <c r="K385" s="78">
        <v>350</v>
      </c>
      <c r="L385" s="78">
        <f>17886.528+18631.8</f>
        <v>36518.327999999994</v>
      </c>
      <c r="M385" s="21">
        <v>7.4467046270853379</v>
      </c>
      <c r="N385" s="31">
        <f>H385/M385</f>
        <v>4950.9588262574025</v>
      </c>
      <c r="O385" s="79"/>
      <c r="P385" s="79"/>
      <c r="Q385" s="79"/>
      <c r="R385" s="79"/>
      <c r="S385" s="79"/>
      <c r="T385" s="79"/>
      <c r="U385" s="79"/>
      <c r="V385" s="72">
        <v>7.4467046270853379</v>
      </c>
      <c r="W385" s="31">
        <f t="shared" si="50"/>
        <v>4950.9588262574025</v>
      </c>
      <c r="Z385" s="80"/>
      <c r="AA385" s="7"/>
      <c r="AB385" s="7"/>
    </row>
    <row r="386" spans="1:28" s="6" customFormat="1" ht="133.5" customHeight="1">
      <c r="A386" s="142" t="s">
        <v>102</v>
      </c>
      <c r="B386" s="81" t="s">
        <v>152</v>
      </c>
      <c r="C386" s="67" t="s">
        <v>15</v>
      </c>
      <c r="D386" s="24">
        <v>2012</v>
      </c>
      <c r="E386" s="4">
        <v>1660.2538463834678</v>
      </c>
      <c r="F386" s="23" t="s">
        <v>14</v>
      </c>
      <c r="G386" s="23" t="s">
        <v>14</v>
      </c>
      <c r="H386" s="78">
        <f t="shared" si="49"/>
        <v>11730</v>
      </c>
      <c r="I386" s="78">
        <f>SUM(I387:I391)</f>
        <v>0</v>
      </c>
      <c r="J386" s="78">
        <f>SUM(J387:J391)</f>
        <v>0</v>
      </c>
      <c r="K386" s="78">
        <f>SUM(K387:K391)</f>
        <v>117.3</v>
      </c>
      <c r="L386" s="78">
        <f>SUM(L387:L391)</f>
        <v>11612.7</v>
      </c>
      <c r="M386" s="20"/>
      <c r="N386" s="30">
        <f>SUM(N387:N391)</f>
        <v>1660.2538463834678</v>
      </c>
      <c r="O386" s="79"/>
      <c r="P386" s="79"/>
      <c r="Q386" s="79"/>
      <c r="R386" s="79"/>
      <c r="S386" s="79"/>
      <c r="T386" s="79"/>
      <c r="U386" s="79"/>
      <c r="V386" s="68"/>
      <c r="W386" s="30">
        <f>W387+W388+W389+W390+W391</f>
        <v>1660.2538463834678</v>
      </c>
      <c r="Z386" s="80"/>
      <c r="AA386" s="7"/>
      <c r="AB386" s="7"/>
    </row>
    <row r="387" spans="1:28" s="6" customFormat="1">
      <c r="A387" s="143"/>
      <c r="B387" s="19" t="s">
        <v>19</v>
      </c>
      <c r="C387" s="24" t="s">
        <v>14</v>
      </c>
      <c r="D387" s="24" t="s">
        <v>14</v>
      </c>
      <c r="E387" s="23" t="s">
        <v>14</v>
      </c>
      <c r="F387" s="4">
        <v>0</v>
      </c>
      <c r="G387" s="4">
        <v>0</v>
      </c>
      <c r="H387" s="78">
        <f t="shared" si="49"/>
        <v>0</v>
      </c>
      <c r="I387" s="78">
        <v>0</v>
      </c>
      <c r="J387" s="78">
        <v>0</v>
      </c>
      <c r="K387" s="78">
        <v>0</v>
      </c>
      <c r="L387" s="78">
        <v>0</v>
      </c>
      <c r="M387" s="20">
        <v>6.0168239999999997</v>
      </c>
      <c r="N387" s="31">
        <f>H387/M387</f>
        <v>0</v>
      </c>
      <c r="O387" s="79"/>
      <c r="P387" s="79"/>
      <c r="Q387" s="79"/>
      <c r="R387" s="79"/>
      <c r="S387" s="79"/>
      <c r="T387" s="79"/>
      <c r="U387" s="79"/>
      <c r="V387" s="68">
        <v>5.4316964175493201</v>
      </c>
      <c r="W387" s="31">
        <f>H387/V387</f>
        <v>0</v>
      </c>
      <c r="Z387" s="80"/>
      <c r="AA387" s="7"/>
      <c r="AB387" s="7"/>
    </row>
    <row r="388" spans="1:28" s="6" customFormat="1">
      <c r="A388" s="143"/>
      <c r="B388" s="19" t="s">
        <v>20</v>
      </c>
      <c r="C388" s="24" t="s">
        <v>14</v>
      </c>
      <c r="D388" s="24" t="s">
        <v>14</v>
      </c>
      <c r="E388" s="23" t="s">
        <v>14</v>
      </c>
      <c r="F388" s="4">
        <v>0</v>
      </c>
      <c r="G388" s="4">
        <v>0</v>
      </c>
      <c r="H388" s="78">
        <f t="shared" si="49"/>
        <v>0</v>
      </c>
      <c r="I388" s="78">
        <v>0</v>
      </c>
      <c r="J388" s="78">
        <v>0</v>
      </c>
      <c r="K388" s="78">
        <v>0</v>
      </c>
      <c r="L388" s="78">
        <v>0</v>
      </c>
      <c r="M388" s="20">
        <v>6.3597829679999993</v>
      </c>
      <c r="N388" s="31">
        <f>H388/M388</f>
        <v>0</v>
      </c>
      <c r="O388" s="79"/>
      <c r="P388" s="79"/>
      <c r="Q388" s="79"/>
      <c r="R388" s="79"/>
      <c r="S388" s="79"/>
      <c r="T388" s="79"/>
      <c r="U388" s="79"/>
      <c r="V388" s="68">
        <v>6.24</v>
      </c>
      <c r="W388" s="31">
        <f t="shared" si="50"/>
        <v>0</v>
      </c>
      <c r="Z388" s="80"/>
      <c r="AA388" s="7"/>
      <c r="AB388" s="7"/>
    </row>
    <row r="389" spans="1:28" s="6" customFormat="1">
      <c r="A389" s="143"/>
      <c r="B389" s="19" t="s">
        <v>28</v>
      </c>
      <c r="C389" s="24" t="s">
        <v>14</v>
      </c>
      <c r="D389" s="24" t="s">
        <v>14</v>
      </c>
      <c r="E389" s="23" t="s">
        <v>14</v>
      </c>
      <c r="F389" s="4">
        <v>0</v>
      </c>
      <c r="G389" s="4">
        <v>0</v>
      </c>
      <c r="H389" s="78">
        <f t="shared" si="49"/>
        <v>0</v>
      </c>
      <c r="I389" s="78">
        <v>0</v>
      </c>
      <c r="J389" s="78">
        <v>0</v>
      </c>
      <c r="K389" s="78">
        <v>0</v>
      </c>
      <c r="L389" s="78">
        <v>0</v>
      </c>
      <c r="M389" s="21">
        <v>6.7032112482719999</v>
      </c>
      <c r="N389" s="31">
        <f>H389/M389</f>
        <v>0</v>
      </c>
      <c r="O389" s="79"/>
      <c r="P389" s="79"/>
      <c r="Q389" s="79"/>
      <c r="R389" s="79"/>
      <c r="S389" s="79"/>
      <c r="T389" s="79"/>
      <c r="U389" s="79"/>
      <c r="V389" s="72">
        <v>6.7</v>
      </c>
      <c r="W389" s="31">
        <f t="shared" si="50"/>
        <v>0</v>
      </c>
      <c r="Z389" s="80"/>
      <c r="AA389" s="7"/>
      <c r="AB389" s="7"/>
    </row>
    <row r="390" spans="1:28" s="6" customFormat="1">
      <c r="A390" s="143"/>
      <c r="B390" s="19" t="s">
        <v>29</v>
      </c>
      <c r="C390" s="24" t="s">
        <v>14</v>
      </c>
      <c r="D390" s="24" t="s">
        <v>14</v>
      </c>
      <c r="E390" s="23" t="s">
        <v>14</v>
      </c>
      <c r="F390" s="4">
        <v>1660.2538463834678</v>
      </c>
      <c r="G390" s="4">
        <v>11730</v>
      </c>
      <c r="H390" s="78">
        <f t="shared" si="49"/>
        <v>11730</v>
      </c>
      <c r="I390" s="78">
        <v>0</v>
      </c>
      <c r="J390" s="78">
        <v>0</v>
      </c>
      <c r="K390" s="78">
        <v>117.3</v>
      </c>
      <c r="L390" s="78">
        <v>11612.7</v>
      </c>
      <c r="M390" s="21">
        <v>7.0651846556786886</v>
      </c>
      <c r="N390" s="31">
        <f>H390/M390</f>
        <v>1660.2538463834678</v>
      </c>
      <c r="O390" s="79"/>
      <c r="P390" s="79"/>
      <c r="Q390" s="79"/>
      <c r="R390" s="79"/>
      <c r="S390" s="79"/>
      <c r="T390" s="79"/>
      <c r="U390" s="79"/>
      <c r="V390" s="72">
        <v>7.0651846556786886</v>
      </c>
      <c r="W390" s="31">
        <f t="shared" si="50"/>
        <v>1660.2538463834678</v>
      </c>
      <c r="Z390" s="80"/>
      <c r="AA390" s="7"/>
      <c r="AB390" s="7"/>
    </row>
    <row r="391" spans="1:28" s="6" customFormat="1">
      <c r="A391" s="144"/>
      <c r="B391" s="19" t="s">
        <v>30</v>
      </c>
      <c r="C391" s="24" t="s">
        <v>14</v>
      </c>
      <c r="D391" s="24" t="s">
        <v>14</v>
      </c>
      <c r="E391" s="23" t="s">
        <v>14</v>
      </c>
      <c r="F391" s="4">
        <v>0</v>
      </c>
      <c r="G391" s="4">
        <v>0</v>
      </c>
      <c r="H391" s="78">
        <f t="shared" si="49"/>
        <v>0</v>
      </c>
      <c r="I391" s="78">
        <v>0</v>
      </c>
      <c r="J391" s="78">
        <v>0</v>
      </c>
      <c r="K391" s="78">
        <v>0</v>
      </c>
      <c r="L391" s="78">
        <v>0</v>
      </c>
      <c r="M391" s="21">
        <v>7.4467046270853379</v>
      </c>
      <c r="N391" s="31">
        <f>H391/M391</f>
        <v>0</v>
      </c>
      <c r="O391" s="79"/>
      <c r="P391" s="79"/>
      <c r="Q391" s="79"/>
      <c r="R391" s="79"/>
      <c r="S391" s="79"/>
      <c r="T391" s="79"/>
      <c r="U391" s="79"/>
      <c r="V391" s="72">
        <v>7.4467046270853379</v>
      </c>
      <c r="W391" s="31">
        <f t="shared" si="50"/>
        <v>0</v>
      </c>
      <c r="Z391" s="80"/>
      <c r="AA391" s="7"/>
      <c r="AB391" s="7"/>
    </row>
    <row r="392" spans="1:28" s="6" customFormat="1" ht="129.75" customHeight="1">
      <c r="A392" s="142" t="s">
        <v>103</v>
      </c>
      <c r="B392" s="81" t="s">
        <v>240</v>
      </c>
      <c r="C392" s="67" t="s">
        <v>15</v>
      </c>
      <c r="D392" s="24" t="s">
        <v>63</v>
      </c>
      <c r="E392" s="4">
        <v>6363.5073999903598</v>
      </c>
      <c r="F392" s="23" t="s">
        <v>14</v>
      </c>
      <c r="G392" s="23" t="s">
        <v>14</v>
      </c>
      <c r="H392" s="78">
        <f t="shared" si="49"/>
        <v>45900</v>
      </c>
      <c r="I392" s="78">
        <f>SUM(I393:I397)</f>
        <v>0</v>
      </c>
      <c r="J392" s="78">
        <f>SUM(J393:J397)</f>
        <v>0</v>
      </c>
      <c r="K392" s="78">
        <f>SUM(K393:K397)</f>
        <v>459</v>
      </c>
      <c r="L392" s="78">
        <f>SUM(L393:L397)</f>
        <v>45441</v>
      </c>
      <c r="M392" s="20"/>
      <c r="N392" s="30">
        <f>SUM(N393:N397)</f>
        <v>6363.5073999903598</v>
      </c>
      <c r="O392" s="79"/>
      <c r="P392" s="79"/>
      <c r="Q392" s="79"/>
      <c r="R392" s="79"/>
      <c r="S392" s="79"/>
      <c r="T392" s="79"/>
      <c r="U392" s="79"/>
      <c r="V392" s="68"/>
      <c r="W392" s="30">
        <f>W393+W394+W395+W396+W397</f>
        <v>6363.5073999903598</v>
      </c>
      <c r="Z392" s="80"/>
      <c r="AA392" s="7"/>
      <c r="AB392" s="7"/>
    </row>
    <row r="393" spans="1:28" s="6" customFormat="1">
      <c r="A393" s="143"/>
      <c r="B393" s="19" t="s">
        <v>19</v>
      </c>
      <c r="C393" s="24" t="s">
        <v>14</v>
      </c>
      <c r="D393" s="24" t="s">
        <v>14</v>
      </c>
      <c r="E393" s="23" t="s">
        <v>14</v>
      </c>
      <c r="F393" s="4">
        <v>0</v>
      </c>
      <c r="G393" s="4">
        <v>0</v>
      </c>
      <c r="H393" s="78">
        <f t="shared" si="49"/>
        <v>0</v>
      </c>
      <c r="I393" s="78">
        <v>0</v>
      </c>
      <c r="J393" s="78">
        <v>0</v>
      </c>
      <c r="K393" s="78">
        <v>0</v>
      </c>
      <c r="L393" s="78">
        <v>0</v>
      </c>
      <c r="M393" s="20">
        <v>6.0168239999999997</v>
      </c>
      <c r="N393" s="31">
        <f>H393/M393</f>
        <v>0</v>
      </c>
      <c r="O393" s="79"/>
      <c r="P393" s="79"/>
      <c r="Q393" s="79"/>
      <c r="R393" s="79"/>
      <c r="S393" s="79"/>
      <c r="T393" s="79"/>
      <c r="U393" s="79"/>
      <c r="V393" s="68">
        <v>5.4316964175493174</v>
      </c>
      <c r="W393" s="31">
        <f>H393/V393</f>
        <v>0</v>
      </c>
      <c r="Z393" s="80"/>
      <c r="AA393" s="7"/>
      <c r="AB393" s="7"/>
    </row>
    <row r="394" spans="1:28" s="6" customFormat="1">
      <c r="A394" s="143"/>
      <c r="B394" s="19" t="s">
        <v>20</v>
      </c>
      <c r="C394" s="24" t="s">
        <v>14</v>
      </c>
      <c r="D394" s="24" t="s">
        <v>14</v>
      </c>
      <c r="E394" s="23" t="s">
        <v>14</v>
      </c>
      <c r="F394" s="4">
        <v>0</v>
      </c>
      <c r="G394" s="4">
        <v>0</v>
      </c>
      <c r="H394" s="78">
        <f t="shared" si="49"/>
        <v>0</v>
      </c>
      <c r="I394" s="78">
        <v>0</v>
      </c>
      <c r="J394" s="78">
        <v>0</v>
      </c>
      <c r="K394" s="78">
        <v>0</v>
      </c>
      <c r="L394" s="78">
        <v>0</v>
      </c>
      <c r="M394" s="20">
        <v>6.3597829679999993</v>
      </c>
      <c r="N394" s="31">
        <f>H394/M394</f>
        <v>0</v>
      </c>
      <c r="O394" s="79"/>
      <c r="P394" s="79"/>
      <c r="Q394" s="79"/>
      <c r="R394" s="79"/>
      <c r="S394" s="79"/>
      <c r="T394" s="79"/>
      <c r="U394" s="79"/>
      <c r="V394" s="68">
        <v>6.24</v>
      </c>
      <c r="W394" s="31">
        <f t="shared" si="50"/>
        <v>0</v>
      </c>
      <c r="Z394" s="80"/>
      <c r="AA394" s="7"/>
      <c r="AB394" s="7"/>
    </row>
    <row r="395" spans="1:28" s="6" customFormat="1">
      <c r="A395" s="143"/>
      <c r="B395" s="19" t="s">
        <v>28</v>
      </c>
      <c r="C395" s="24" t="s">
        <v>14</v>
      </c>
      <c r="D395" s="24" t="s">
        <v>14</v>
      </c>
      <c r="E395" s="23" t="s">
        <v>14</v>
      </c>
      <c r="F395" s="4">
        <v>0</v>
      </c>
      <c r="G395" s="4">
        <v>0</v>
      </c>
      <c r="H395" s="78">
        <f t="shared" si="49"/>
        <v>0</v>
      </c>
      <c r="I395" s="78">
        <v>0</v>
      </c>
      <c r="J395" s="78">
        <v>0</v>
      </c>
      <c r="K395" s="78">
        <v>0</v>
      </c>
      <c r="L395" s="78">
        <v>0</v>
      </c>
      <c r="M395" s="21">
        <v>6.7032112482719999</v>
      </c>
      <c r="N395" s="31">
        <f>H395/M395</f>
        <v>0</v>
      </c>
      <c r="O395" s="79"/>
      <c r="P395" s="79"/>
      <c r="Q395" s="79"/>
      <c r="R395" s="79"/>
      <c r="S395" s="79"/>
      <c r="T395" s="79"/>
      <c r="U395" s="79"/>
      <c r="V395" s="72">
        <v>6.7</v>
      </c>
      <c r="W395" s="31">
        <f t="shared" si="50"/>
        <v>0</v>
      </c>
      <c r="Z395" s="80"/>
      <c r="AA395" s="7"/>
      <c r="AB395" s="7"/>
    </row>
    <row r="396" spans="1:28" s="6" customFormat="1">
      <c r="A396" s="143"/>
      <c r="B396" s="19" t="s">
        <v>29</v>
      </c>
      <c r="C396" s="24" t="s">
        <v>14</v>
      </c>
      <c r="D396" s="24" t="s">
        <v>14</v>
      </c>
      <c r="E396" s="23" t="s">
        <v>14</v>
      </c>
      <c r="F396" s="4">
        <v>6496.645485848353</v>
      </c>
      <c r="G396" s="4">
        <v>45900</v>
      </c>
      <c r="H396" s="78">
        <f t="shared" si="49"/>
        <v>27540</v>
      </c>
      <c r="I396" s="78">
        <v>0</v>
      </c>
      <c r="J396" s="78">
        <v>0</v>
      </c>
      <c r="K396" s="78">
        <v>275.39999999999998</v>
      </c>
      <c r="L396" s="78">
        <v>27264.6</v>
      </c>
      <c r="M396" s="21">
        <v>7.0651846556786886</v>
      </c>
      <c r="N396" s="31">
        <f>H396/M396</f>
        <v>3897.9872915090118</v>
      </c>
      <c r="O396" s="79"/>
      <c r="P396" s="79"/>
      <c r="Q396" s="79"/>
      <c r="R396" s="79"/>
      <c r="S396" s="79"/>
      <c r="T396" s="79"/>
      <c r="U396" s="79"/>
      <c r="V396" s="72">
        <v>7.0651846556786886</v>
      </c>
      <c r="W396" s="31">
        <f t="shared" si="50"/>
        <v>3897.9872915090118</v>
      </c>
      <c r="Z396" s="80"/>
      <c r="AA396" s="7"/>
      <c r="AB396" s="7"/>
    </row>
    <row r="397" spans="1:28" s="6" customFormat="1">
      <c r="A397" s="144"/>
      <c r="B397" s="19" t="s">
        <v>30</v>
      </c>
      <c r="C397" s="24" t="s">
        <v>14</v>
      </c>
      <c r="D397" s="24" t="s">
        <v>14</v>
      </c>
      <c r="E397" s="23" t="s">
        <v>14</v>
      </c>
      <c r="F397" s="4">
        <v>2465.5201084813484</v>
      </c>
      <c r="G397" s="4">
        <v>18360</v>
      </c>
      <c r="H397" s="78">
        <f t="shared" si="49"/>
        <v>18360</v>
      </c>
      <c r="I397" s="78">
        <v>0</v>
      </c>
      <c r="J397" s="78">
        <v>0</v>
      </c>
      <c r="K397" s="78">
        <v>183.60000000000002</v>
      </c>
      <c r="L397" s="78">
        <v>18176.400000000001</v>
      </c>
      <c r="M397" s="21">
        <v>7.4467046270853379</v>
      </c>
      <c r="N397" s="31">
        <f>H397/M397</f>
        <v>2465.5201084813484</v>
      </c>
      <c r="O397" s="79"/>
      <c r="P397" s="79"/>
      <c r="Q397" s="79"/>
      <c r="R397" s="79"/>
      <c r="S397" s="79"/>
      <c r="T397" s="79"/>
      <c r="U397" s="79"/>
      <c r="V397" s="72">
        <v>7.4467046270853379</v>
      </c>
      <c r="W397" s="31">
        <f t="shared" si="50"/>
        <v>2465.5201084813484</v>
      </c>
      <c r="Z397" s="80"/>
      <c r="AA397" s="7"/>
      <c r="AB397" s="7"/>
    </row>
    <row r="398" spans="1:28" s="6" customFormat="1" ht="133.5" customHeight="1">
      <c r="A398" s="142" t="s">
        <v>104</v>
      </c>
      <c r="B398" s="81" t="s">
        <v>153</v>
      </c>
      <c r="C398" s="67" t="s">
        <v>15</v>
      </c>
      <c r="D398" s="24" t="s">
        <v>106</v>
      </c>
      <c r="E398" s="4">
        <v>5268.290064481218</v>
      </c>
      <c r="F398" s="23" t="s">
        <v>14</v>
      </c>
      <c r="G398" s="23" t="s">
        <v>14</v>
      </c>
      <c r="H398" s="78">
        <f t="shared" si="49"/>
        <v>38200</v>
      </c>
      <c r="I398" s="78">
        <f>SUM(I399:I403)</f>
        <v>0</v>
      </c>
      <c r="J398" s="78">
        <f>SUM(J399:J403)</f>
        <v>0</v>
      </c>
      <c r="K398" s="78">
        <f>SUM(K399:K403)</f>
        <v>382</v>
      </c>
      <c r="L398" s="78">
        <f>SUM(L399:L403)</f>
        <v>37818</v>
      </c>
      <c r="M398" s="20"/>
      <c r="N398" s="30">
        <f>SUM(N399:N403)</f>
        <v>5268.290064481218</v>
      </c>
      <c r="O398" s="79"/>
      <c r="P398" s="79"/>
      <c r="Q398" s="79"/>
      <c r="R398" s="79"/>
      <c r="S398" s="79"/>
      <c r="T398" s="79"/>
      <c r="U398" s="79"/>
      <c r="V398" s="68"/>
      <c r="W398" s="30">
        <f>W399+W400+W401+W402+W403</f>
        <v>5268.290064481218</v>
      </c>
      <c r="Z398" s="80"/>
      <c r="AA398" s="7"/>
      <c r="AB398" s="7"/>
    </row>
    <row r="399" spans="1:28" s="6" customFormat="1">
      <c r="A399" s="143"/>
      <c r="B399" s="19" t="s">
        <v>19</v>
      </c>
      <c r="C399" s="24" t="s">
        <v>14</v>
      </c>
      <c r="D399" s="24" t="s">
        <v>14</v>
      </c>
      <c r="E399" s="23" t="s">
        <v>14</v>
      </c>
      <c r="F399" s="4">
        <v>0</v>
      </c>
      <c r="G399" s="4">
        <v>0</v>
      </c>
      <c r="H399" s="78">
        <f t="shared" si="49"/>
        <v>0</v>
      </c>
      <c r="I399" s="78">
        <v>0</v>
      </c>
      <c r="J399" s="78">
        <v>0</v>
      </c>
      <c r="K399" s="78">
        <v>0</v>
      </c>
      <c r="L399" s="78">
        <v>0</v>
      </c>
      <c r="M399" s="20">
        <v>6.0168239999999997</v>
      </c>
      <c r="N399" s="31">
        <f>H399/M399</f>
        <v>0</v>
      </c>
      <c r="O399" s="79"/>
      <c r="P399" s="79"/>
      <c r="Q399" s="79"/>
      <c r="R399" s="79"/>
      <c r="S399" s="79"/>
      <c r="T399" s="79"/>
      <c r="U399" s="79"/>
      <c r="V399" s="68">
        <v>5.4316964175493174</v>
      </c>
      <c r="W399" s="31">
        <f>H399/V399</f>
        <v>0</v>
      </c>
      <c r="Z399" s="80"/>
      <c r="AA399" s="7"/>
      <c r="AB399" s="7"/>
    </row>
    <row r="400" spans="1:28" s="6" customFormat="1">
      <c r="A400" s="143"/>
      <c r="B400" s="19" t="s">
        <v>20</v>
      </c>
      <c r="C400" s="24" t="s">
        <v>14</v>
      </c>
      <c r="D400" s="24" t="s">
        <v>14</v>
      </c>
      <c r="E400" s="23" t="s">
        <v>14</v>
      </c>
      <c r="F400" s="4">
        <v>0</v>
      </c>
      <c r="G400" s="4">
        <v>0</v>
      </c>
      <c r="H400" s="78">
        <f t="shared" si="49"/>
        <v>0</v>
      </c>
      <c r="I400" s="78">
        <v>0</v>
      </c>
      <c r="J400" s="78">
        <v>0</v>
      </c>
      <c r="K400" s="78">
        <v>0</v>
      </c>
      <c r="L400" s="78">
        <v>0</v>
      </c>
      <c r="M400" s="20">
        <v>6.3597829679999993</v>
      </c>
      <c r="N400" s="31">
        <f>H400/M400</f>
        <v>0</v>
      </c>
      <c r="O400" s="79"/>
      <c r="P400" s="79"/>
      <c r="Q400" s="79"/>
      <c r="R400" s="79"/>
      <c r="S400" s="79"/>
      <c r="T400" s="79"/>
      <c r="U400" s="79"/>
      <c r="V400" s="68">
        <v>6.24</v>
      </c>
      <c r="W400" s="31">
        <f t="shared" si="50"/>
        <v>0</v>
      </c>
      <c r="Z400" s="80"/>
      <c r="AA400" s="7"/>
      <c r="AB400" s="7"/>
    </row>
    <row r="401" spans="1:28" s="6" customFormat="1">
      <c r="A401" s="143"/>
      <c r="B401" s="19" t="s">
        <v>28</v>
      </c>
      <c r="C401" s="24" t="s">
        <v>14</v>
      </c>
      <c r="D401" s="24" t="s">
        <v>14</v>
      </c>
      <c r="E401" s="23" t="s">
        <v>14</v>
      </c>
      <c r="F401" s="4">
        <v>0</v>
      </c>
      <c r="G401" s="4">
        <v>0</v>
      </c>
      <c r="H401" s="78">
        <f t="shared" si="49"/>
        <v>0</v>
      </c>
      <c r="I401" s="78">
        <v>0</v>
      </c>
      <c r="J401" s="78">
        <v>0</v>
      </c>
      <c r="K401" s="78">
        <v>0</v>
      </c>
      <c r="L401" s="78">
        <v>0</v>
      </c>
      <c r="M401" s="21">
        <v>6.7032112482719999</v>
      </c>
      <c r="N401" s="31">
        <f>H401/M401</f>
        <v>0</v>
      </c>
      <c r="O401" s="79"/>
      <c r="P401" s="79"/>
      <c r="Q401" s="79"/>
      <c r="R401" s="79"/>
      <c r="S401" s="79"/>
      <c r="T401" s="79"/>
      <c r="U401" s="79"/>
      <c r="V401" s="72">
        <v>6.7</v>
      </c>
      <c r="W401" s="31">
        <f t="shared" si="50"/>
        <v>0</v>
      </c>
      <c r="Z401" s="80"/>
      <c r="AA401" s="7"/>
      <c r="AB401" s="7"/>
    </row>
    <row r="402" spans="1:28" s="6" customFormat="1">
      <c r="A402" s="143"/>
      <c r="B402" s="19" t="s">
        <v>29</v>
      </c>
      <c r="C402" s="24" t="s">
        <v>14</v>
      </c>
      <c r="D402" s="24" t="s">
        <v>14</v>
      </c>
      <c r="E402" s="23" t="s">
        <v>14</v>
      </c>
      <c r="F402" s="4">
        <v>5406.7942823400235</v>
      </c>
      <c r="G402" s="4">
        <v>38200</v>
      </c>
      <c r="H402" s="78">
        <f t="shared" si="49"/>
        <v>19100</v>
      </c>
      <c r="I402" s="78">
        <v>0</v>
      </c>
      <c r="J402" s="78">
        <v>0</v>
      </c>
      <c r="K402" s="78">
        <v>191</v>
      </c>
      <c r="L402" s="78">
        <v>18909</v>
      </c>
      <c r="M402" s="21">
        <v>7.0651846556786886</v>
      </c>
      <c r="N402" s="31">
        <f>H402/M402</f>
        <v>2703.3971411700118</v>
      </c>
      <c r="O402" s="79"/>
      <c r="P402" s="79"/>
      <c r="Q402" s="79"/>
      <c r="R402" s="79"/>
      <c r="S402" s="79"/>
      <c r="T402" s="79"/>
      <c r="U402" s="79"/>
      <c r="V402" s="72">
        <v>7.0651846556786886</v>
      </c>
      <c r="W402" s="31">
        <f t="shared" si="50"/>
        <v>2703.3971411700118</v>
      </c>
      <c r="Z402" s="80"/>
      <c r="AA402" s="7"/>
      <c r="AB402" s="7"/>
    </row>
    <row r="403" spans="1:28" s="6" customFormat="1">
      <c r="A403" s="144"/>
      <c r="B403" s="19" t="s">
        <v>30</v>
      </c>
      <c r="C403" s="24" t="s">
        <v>14</v>
      </c>
      <c r="D403" s="24" t="s">
        <v>14</v>
      </c>
      <c r="E403" s="23" t="s">
        <v>14</v>
      </c>
      <c r="F403" s="4">
        <v>2564.8929233112067</v>
      </c>
      <c r="G403" s="4">
        <v>19100</v>
      </c>
      <c r="H403" s="78">
        <f t="shared" si="49"/>
        <v>19100</v>
      </c>
      <c r="I403" s="78">
        <v>0</v>
      </c>
      <c r="J403" s="78">
        <v>0</v>
      </c>
      <c r="K403" s="78">
        <v>191</v>
      </c>
      <c r="L403" s="78">
        <v>18909</v>
      </c>
      <c r="M403" s="21">
        <v>7.4467046270853379</v>
      </c>
      <c r="N403" s="31">
        <f>H403/M403</f>
        <v>2564.8929233112067</v>
      </c>
      <c r="O403" s="79"/>
      <c r="P403" s="79"/>
      <c r="Q403" s="79"/>
      <c r="R403" s="79"/>
      <c r="S403" s="79"/>
      <c r="T403" s="79"/>
      <c r="U403" s="79"/>
      <c r="V403" s="72">
        <v>7.4467046270853379</v>
      </c>
      <c r="W403" s="31">
        <f t="shared" si="50"/>
        <v>2564.8929233112067</v>
      </c>
      <c r="Z403" s="80"/>
      <c r="AA403" s="7"/>
      <c r="AB403" s="7"/>
    </row>
    <row r="404" spans="1:28" s="85" customFormat="1" ht="79.5" customHeight="1">
      <c r="A404" s="151" t="s">
        <v>121</v>
      </c>
      <c r="B404" s="119" t="s">
        <v>118</v>
      </c>
      <c r="C404" s="83" t="s">
        <v>119</v>
      </c>
      <c r="D404" s="83" t="s">
        <v>22</v>
      </c>
      <c r="E404" s="4">
        <v>61854.16</v>
      </c>
      <c r="F404" s="23" t="s">
        <v>14</v>
      </c>
      <c r="G404" s="23" t="s">
        <v>14</v>
      </c>
      <c r="H404" s="84">
        <f>I404+J404+K404+L404</f>
        <v>93799.039999999994</v>
      </c>
      <c r="I404" s="84">
        <f>I405+I406+I407+I408+I409</f>
        <v>90060</v>
      </c>
      <c r="J404" s="84">
        <f>J405+J406+J407+J408+J409</f>
        <v>0</v>
      </c>
      <c r="K404" s="84">
        <f>K405+K406+K407+K408+K409</f>
        <v>3739.04</v>
      </c>
      <c r="L404" s="84">
        <f>L405+L406+L407+L408+L409</f>
        <v>0</v>
      </c>
      <c r="M404" s="20"/>
      <c r="N404" s="30">
        <f>SUM(N405:N409)</f>
        <v>15586.771715131898</v>
      </c>
      <c r="O404" s="87"/>
      <c r="P404" s="87"/>
      <c r="Q404" s="87"/>
      <c r="R404" s="87"/>
      <c r="S404" s="87"/>
      <c r="T404" s="87"/>
      <c r="U404" s="87"/>
      <c r="V404" s="68"/>
      <c r="W404" s="30">
        <f>W405+W406+W407+W408+W409</f>
        <v>17261.675182713283</v>
      </c>
      <c r="Z404" s="86"/>
      <c r="AA404" s="7"/>
      <c r="AB404" s="7"/>
    </row>
    <row r="405" spans="1:28" s="85" customFormat="1">
      <c r="A405" s="152"/>
      <c r="B405" s="82" t="s">
        <v>2</v>
      </c>
      <c r="C405" s="15" t="s">
        <v>14</v>
      </c>
      <c r="D405" s="15" t="s">
        <v>14</v>
      </c>
      <c r="E405" s="23" t="s">
        <v>14</v>
      </c>
      <c r="F405" s="4">
        <v>19175.13</v>
      </c>
      <c r="G405" s="4">
        <f>H404</f>
        <v>93799.039999999994</v>
      </c>
      <c r="H405" s="84">
        <f t="shared" ref="H405:H445" si="51">I405+J405+K405+L405</f>
        <v>93499.04</v>
      </c>
      <c r="I405" s="4">
        <v>90060</v>
      </c>
      <c r="J405" s="4">
        <v>0</v>
      </c>
      <c r="K405" s="4">
        <v>3439.04</v>
      </c>
      <c r="L405" s="4">
        <v>0</v>
      </c>
      <c r="M405" s="20">
        <v>6.0168239999999997</v>
      </c>
      <c r="N405" s="31">
        <f>H405/M405</f>
        <v>15539.600294108652</v>
      </c>
      <c r="O405" s="87"/>
      <c r="P405" s="87"/>
      <c r="Q405" s="87"/>
      <c r="R405" s="87"/>
      <c r="S405" s="87"/>
      <c r="T405" s="87"/>
      <c r="U405" s="87"/>
      <c r="V405" s="68">
        <v>5.4316964175493174</v>
      </c>
      <c r="W405" s="31">
        <f>H405/V405</f>
        <v>17213.598259636361</v>
      </c>
      <c r="Z405" s="86"/>
      <c r="AA405" s="7"/>
      <c r="AB405" s="7"/>
    </row>
    <row r="406" spans="1:28" s="85" customFormat="1">
      <c r="A406" s="152"/>
      <c r="B406" s="82" t="s">
        <v>0</v>
      </c>
      <c r="C406" s="15" t="s">
        <v>14</v>
      </c>
      <c r="D406" s="15" t="s">
        <v>14</v>
      </c>
      <c r="E406" s="23" t="s">
        <v>14</v>
      </c>
      <c r="F406" s="4">
        <v>0</v>
      </c>
      <c r="G406" s="4">
        <v>0</v>
      </c>
      <c r="H406" s="84">
        <f t="shared" si="51"/>
        <v>300</v>
      </c>
      <c r="I406" s="4">
        <v>0</v>
      </c>
      <c r="J406" s="4">
        <v>0</v>
      </c>
      <c r="K406" s="4">
        <v>300</v>
      </c>
      <c r="L406" s="4">
        <v>0</v>
      </c>
      <c r="M406" s="20">
        <v>6.3597829679999993</v>
      </c>
      <c r="N406" s="31">
        <f>H406/M406</f>
        <v>47.171421023246467</v>
      </c>
      <c r="O406" s="87"/>
      <c r="P406" s="87"/>
      <c r="Q406" s="87"/>
      <c r="R406" s="87"/>
      <c r="S406" s="87"/>
      <c r="T406" s="87"/>
      <c r="U406" s="87"/>
      <c r="V406" s="68">
        <v>6.24</v>
      </c>
      <c r="W406" s="31">
        <f>H406/V406</f>
        <v>48.076923076923073</v>
      </c>
      <c r="Z406" s="86"/>
      <c r="AA406" s="7"/>
      <c r="AB406" s="7"/>
    </row>
    <row r="407" spans="1:28" s="85" customFormat="1">
      <c r="A407" s="152"/>
      <c r="B407" s="82" t="s">
        <v>28</v>
      </c>
      <c r="C407" s="15" t="s">
        <v>14</v>
      </c>
      <c r="D407" s="15" t="s">
        <v>14</v>
      </c>
      <c r="E407" s="23" t="s">
        <v>14</v>
      </c>
      <c r="F407" s="4">
        <v>0</v>
      </c>
      <c r="G407" s="4">
        <v>0</v>
      </c>
      <c r="H407" s="84">
        <f t="shared" si="51"/>
        <v>0</v>
      </c>
      <c r="I407" s="4">
        <v>0</v>
      </c>
      <c r="J407" s="4">
        <v>0</v>
      </c>
      <c r="K407" s="4">
        <v>0</v>
      </c>
      <c r="L407" s="4">
        <v>0</v>
      </c>
      <c r="M407" s="21">
        <v>6.7032112482719999</v>
      </c>
      <c r="N407" s="31">
        <f>H407/M407</f>
        <v>0</v>
      </c>
      <c r="O407" s="87"/>
      <c r="P407" s="87"/>
      <c r="Q407" s="87"/>
      <c r="R407" s="87"/>
      <c r="S407" s="87"/>
      <c r="T407" s="87"/>
      <c r="U407" s="87"/>
      <c r="V407" s="72">
        <v>6.7</v>
      </c>
      <c r="W407" s="31">
        <f>H407/V407</f>
        <v>0</v>
      </c>
      <c r="Z407" s="86"/>
      <c r="AA407" s="7"/>
      <c r="AB407" s="7"/>
    </row>
    <row r="408" spans="1:28" s="85" customFormat="1">
      <c r="A408" s="152"/>
      <c r="B408" s="82" t="s">
        <v>29</v>
      </c>
      <c r="C408" s="15" t="s">
        <v>14</v>
      </c>
      <c r="D408" s="15" t="s">
        <v>14</v>
      </c>
      <c r="E408" s="23" t="s">
        <v>14</v>
      </c>
      <c r="F408" s="4">
        <v>0</v>
      </c>
      <c r="G408" s="4">
        <v>0</v>
      </c>
      <c r="H408" s="84">
        <f t="shared" si="51"/>
        <v>0</v>
      </c>
      <c r="I408" s="4">
        <v>0</v>
      </c>
      <c r="J408" s="4">
        <v>0</v>
      </c>
      <c r="K408" s="4">
        <v>0</v>
      </c>
      <c r="L408" s="4">
        <v>0</v>
      </c>
      <c r="M408" s="21">
        <v>7.0651846556786886</v>
      </c>
      <c r="N408" s="31">
        <f>H408/M408</f>
        <v>0</v>
      </c>
      <c r="O408" s="87"/>
      <c r="P408" s="87"/>
      <c r="Q408" s="87"/>
      <c r="R408" s="87"/>
      <c r="S408" s="87"/>
      <c r="T408" s="87"/>
      <c r="U408" s="87"/>
      <c r="V408" s="72">
        <v>7.0651846556786886</v>
      </c>
      <c r="W408" s="31">
        <f>H408/V408</f>
        <v>0</v>
      </c>
      <c r="Z408" s="86"/>
      <c r="AA408" s="7"/>
      <c r="AB408" s="7"/>
    </row>
    <row r="409" spans="1:28" s="85" customFormat="1">
      <c r="A409" s="153"/>
      <c r="B409" s="82" t="s">
        <v>30</v>
      </c>
      <c r="C409" s="15" t="s">
        <v>14</v>
      </c>
      <c r="D409" s="15" t="s">
        <v>14</v>
      </c>
      <c r="E409" s="23" t="s">
        <v>14</v>
      </c>
      <c r="F409" s="4">
        <v>0</v>
      </c>
      <c r="G409" s="4">
        <v>0</v>
      </c>
      <c r="H409" s="84">
        <f t="shared" si="51"/>
        <v>0</v>
      </c>
      <c r="I409" s="4">
        <v>0</v>
      </c>
      <c r="J409" s="4">
        <v>0</v>
      </c>
      <c r="K409" s="4">
        <v>0</v>
      </c>
      <c r="L409" s="4">
        <v>0</v>
      </c>
      <c r="M409" s="21">
        <v>7.4467046270853379</v>
      </c>
      <c r="N409" s="31">
        <f>H409/M409</f>
        <v>0</v>
      </c>
      <c r="O409" s="87"/>
      <c r="P409" s="87"/>
      <c r="Q409" s="87"/>
      <c r="R409" s="87"/>
      <c r="S409" s="87"/>
      <c r="T409" s="87"/>
      <c r="U409" s="87"/>
      <c r="V409" s="72">
        <v>7.4467046270853379</v>
      </c>
      <c r="W409" s="31">
        <f>H409/V409</f>
        <v>0</v>
      </c>
      <c r="Z409" s="86"/>
      <c r="AA409" s="7"/>
      <c r="AB409" s="7"/>
    </row>
    <row r="410" spans="1:28" s="85" customFormat="1" ht="43.5" customHeight="1">
      <c r="A410" s="158" t="s">
        <v>122</v>
      </c>
      <c r="B410" s="119" t="s">
        <v>123</v>
      </c>
      <c r="C410" s="46" t="s">
        <v>222</v>
      </c>
      <c r="D410" s="83" t="s">
        <v>172</v>
      </c>
      <c r="E410" s="84">
        <f>W410</f>
        <v>3826.3600000000006</v>
      </c>
      <c r="F410" s="23" t="s">
        <v>14</v>
      </c>
      <c r="G410" s="23" t="s">
        <v>14</v>
      </c>
      <c r="H410" s="84">
        <f t="shared" si="51"/>
        <v>24291.153989770723</v>
      </c>
      <c r="I410" s="84">
        <f>I411+I412+I413+I414+I415</f>
        <v>21797.32217151214</v>
      </c>
      <c r="J410" s="84">
        <f>J411+J412+J413+J414+J415</f>
        <v>0</v>
      </c>
      <c r="K410" s="84">
        <f>K411+K412+K413+K414+K415</f>
        <v>2493.8318182585817</v>
      </c>
      <c r="L410" s="84">
        <f>L411+L412+L413+L414+L415</f>
        <v>0</v>
      </c>
      <c r="M410" s="20"/>
      <c r="N410" s="30">
        <f>SUM(N411:N415)</f>
        <v>3765.8646848879189</v>
      </c>
      <c r="O410" s="87"/>
      <c r="P410" s="87"/>
      <c r="Q410" s="87"/>
      <c r="R410" s="87"/>
      <c r="S410" s="87"/>
      <c r="T410" s="87"/>
      <c r="U410" s="87"/>
      <c r="V410" s="68"/>
      <c r="W410" s="30">
        <f>W411+W412+W413+W414+W415</f>
        <v>3826.3600000000006</v>
      </c>
      <c r="Z410" s="86"/>
      <c r="AA410" s="7"/>
      <c r="AB410" s="7"/>
    </row>
    <row r="411" spans="1:28" s="85" customFormat="1" ht="12.75" customHeight="1">
      <c r="A411" s="159"/>
      <c r="B411" s="19" t="s">
        <v>19</v>
      </c>
      <c r="C411" s="15" t="s">
        <v>14</v>
      </c>
      <c r="D411" s="15" t="s">
        <v>14</v>
      </c>
      <c r="E411" s="23" t="s">
        <v>14</v>
      </c>
      <c r="F411" s="4">
        <f>G411/V411</f>
        <v>0</v>
      </c>
      <c r="G411" s="84">
        <v>0</v>
      </c>
      <c r="H411" s="84">
        <f t="shared" si="51"/>
        <v>0</v>
      </c>
      <c r="I411" s="4">
        <v>0</v>
      </c>
      <c r="J411" s="4">
        <v>0</v>
      </c>
      <c r="K411" s="4">
        <v>0</v>
      </c>
      <c r="L411" s="4">
        <v>0</v>
      </c>
      <c r="M411" s="20">
        <v>6.0168239999999997</v>
      </c>
      <c r="N411" s="31">
        <f>H411/M411</f>
        <v>0</v>
      </c>
      <c r="O411" s="87"/>
      <c r="P411" s="87"/>
      <c r="Q411" s="87"/>
      <c r="R411" s="87"/>
      <c r="S411" s="87"/>
      <c r="T411" s="87"/>
      <c r="U411" s="87"/>
      <c r="V411" s="68">
        <v>5.4316964175493174</v>
      </c>
      <c r="W411" s="31">
        <f>H411/V411</f>
        <v>0</v>
      </c>
      <c r="X411" s="88" t="s">
        <v>174</v>
      </c>
      <c r="Y411" s="88" t="s">
        <v>241</v>
      </c>
      <c r="Z411" s="86" t="s">
        <v>175</v>
      </c>
      <c r="AA411" s="7"/>
      <c r="AB411" s="7"/>
    </row>
    <row r="412" spans="1:28" s="85" customFormat="1">
      <c r="A412" s="159"/>
      <c r="B412" s="19" t="s">
        <v>20</v>
      </c>
      <c r="C412" s="15" t="s">
        <v>14</v>
      </c>
      <c r="D412" s="15" t="s">
        <v>14</v>
      </c>
      <c r="E412" s="23" t="s">
        <v>14</v>
      </c>
      <c r="F412" s="4">
        <f>G412/V412</f>
        <v>3892.8131393863337</v>
      </c>
      <c r="G412" s="84">
        <f>H410</f>
        <v>24291.153989770723</v>
      </c>
      <c r="H412" s="84">
        <f t="shared" si="51"/>
        <v>20000</v>
      </c>
      <c r="I412" s="4">
        <v>20000</v>
      </c>
      <c r="J412" s="4">
        <v>0</v>
      </c>
      <c r="K412" s="4">
        <v>0</v>
      </c>
      <c r="L412" s="4">
        <v>0</v>
      </c>
      <c r="M412" s="20">
        <v>6.3597829679999993</v>
      </c>
      <c r="N412" s="31">
        <f>H412/M412</f>
        <v>3144.7614015497647</v>
      </c>
      <c r="O412" s="87"/>
      <c r="P412" s="87"/>
      <c r="Q412" s="87"/>
      <c r="R412" s="87"/>
      <c r="S412" s="87"/>
      <c r="T412" s="87"/>
      <c r="U412" s="87"/>
      <c r="V412" s="68">
        <v>6.24</v>
      </c>
      <c r="W412" s="31">
        <f>H412/V412</f>
        <v>3205.1282051282051</v>
      </c>
      <c r="X412" s="89">
        <v>39659</v>
      </c>
      <c r="Y412" s="85">
        <v>3564</v>
      </c>
      <c r="Z412" s="86">
        <v>1111</v>
      </c>
      <c r="AA412" s="7"/>
      <c r="AB412" s="7"/>
    </row>
    <row r="413" spans="1:28" s="85" customFormat="1">
      <c r="A413" s="159"/>
      <c r="B413" s="19" t="s">
        <v>28</v>
      </c>
      <c r="C413" s="15" t="s">
        <v>14</v>
      </c>
      <c r="D413" s="15" t="s">
        <v>14</v>
      </c>
      <c r="E413" s="23" t="s">
        <v>14</v>
      </c>
      <c r="F413" s="4">
        <f>G413/V413</f>
        <v>640.4707447418989</v>
      </c>
      <c r="G413" s="84">
        <f>G412-H412</f>
        <v>4291.1539897707225</v>
      </c>
      <c r="H413" s="84">
        <f t="shared" si="51"/>
        <v>1797.3221715121413</v>
      </c>
      <c r="I413" s="4">
        <v>1797.3221715121413</v>
      </c>
      <c r="J413" s="4">
        <v>0</v>
      </c>
      <c r="K413" s="4">
        <v>0</v>
      </c>
      <c r="L413" s="4">
        <v>0</v>
      </c>
      <c r="M413" s="21">
        <v>6.7032112482719999</v>
      </c>
      <c r="N413" s="31">
        <f>H413/M413</f>
        <v>268.12852899055918</v>
      </c>
      <c r="O413" s="87"/>
      <c r="P413" s="87"/>
      <c r="Q413" s="87"/>
      <c r="R413" s="87"/>
      <c r="S413" s="87"/>
      <c r="T413" s="87"/>
      <c r="U413" s="87"/>
      <c r="V413" s="72">
        <v>6.7</v>
      </c>
      <c r="W413" s="31">
        <f>H413/V413</f>
        <v>268.25704052420019</v>
      </c>
      <c r="X413" s="90">
        <f>I412/X412*100</f>
        <v>50.429915025593189</v>
      </c>
      <c r="Y413" s="90">
        <f>Y412*X413/100</f>
        <v>1797.3221715121413</v>
      </c>
      <c r="Z413" s="91">
        <f>X413*Z412/100</f>
        <v>560.27635593434036</v>
      </c>
      <c r="AA413" s="7"/>
      <c r="AB413" s="7"/>
    </row>
    <row r="414" spans="1:28" s="85" customFormat="1">
      <c r="A414" s="159"/>
      <c r="B414" s="19" t="s">
        <v>29</v>
      </c>
      <c r="C414" s="15" t="s">
        <v>14</v>
      </c>
      <c r="D414" s="15" t="s">
        <v>14</v>
      </c>
      <c r="E414" s="23" t="s">
        <v>14</v>
      </c>
      <c r="F414" s="4">
        <f>G414/V414</f>
        <v>352.9747543475948</v>
      </c>
      <c r="G414" s="84">
        <f>G413-H413</f>
        <v>2493.8318182585813</v>
      </c>
      <c r="H414" s="84">
        <f t="shared" si="51"/>
        <v>2493.8318182585817</v>
      </c>
      <c r="I414" s="4">
        <v>0</v>
      </c>
      <c r="J414" s="4">
        <v>0</v>
      </c>
      <c r="K414" s="4">
        <v>2493.8318182585817</v>
      </c>
      <c r="L414" s="4">
        <v>0</v>
      </c>
      <c r="M414" s="21">
        <v>7.0651846556786886</v>
      </c>
      <c r="N414" s="31">
        <f>H414/M414</f>
        <v>352.97475434759485</v>
      </c>
      <c r="O414" s="87"/>
      <c r="P414" s="87"/>
      <c r="Q414" s="87"/>
      <c r="R414" s="87"/>
      <c r="S414" s="87"/>
      <c r="T414" s="87"/>
      <c r="U414" s="87"/>
      <c r="V414" s="72">
        <v>7.0651846556786886</v>
      </c>
      <c r="W414" s="31">
        <f>H414/V414</f>
        <v>352.97475434759485</v>
      </c>
      <c r="X414" s="90">
        <f>I418/X412*100</f>
        <v>49.570084974406818</v>
      </c>
      <c r="Y414" s="90">
        <f>Y412-Y413</f>
        <v>1766.6778284878587</v>
      </c>
      <c r="Z414" s="91">
        <f>X414*Z412/100</f>
        <v>550.72364406565976</v>
      </c>
      <c r="AA414" s="7"/>
      <c r="AB414" s="7"/>
    </row>
    <row r="415" spans="1:28" s="85" customFormat="1">
      <c r="A415" s="160"/>
      <c r="B415" s="19" t="s">
        <v>30</v>
      </c>
      <c r="C415" s="15" t="s">
        <v>14</v>
      </c>
      <c r="D415" s="15" t="s">
        <v>14</v>
      </c>
      <c r="E415" s="23" t="s">
        <v>14</v>
      </c>
      <c r="F415" s="4">
        <f>G415/V415</f>
        <v>0</v>
      </c>
      <c r="G415" s="84">
        <f>G414-H414</f>
        <v>0</v>
      </c>
      <c r="H415" s="84">
        <f t="shared" si="51"/>
        <v>0</v>
      </c>
      <c r="I415" s="4">
        <v>0</v>
      </c>
      <c r="J415" s="4">
        <v>0</v>
      </c>
      <c r="K415" s="4">
        <v>0</v>
      </c>
      <c r="L415" s="4">
        <v>0</v>
      </c>
      <c r="M415" s="21">
        <v>7.4467046270853379</v>
      </c>
      <c r="N415" s="31">
        <f>H415/M415</f>
        <v>0</v>
      </c>
      <c r="O415" s="87"/>
      <c r="P415" s="87"/>
      <c r="Q415" s="87"/>
      <c r="R415" s="87"/>
      <c r="S415" s="87"/>
      <c r="T415" s="87"/>
      <c r="U415" s="87"/>
      <c r="V415" s="72">
        <v>7.4467046270853379</v>
      </c>
      <c r="W415" s="31">
        <f>H415/V415</f>
        <v>0</v>
      </c>
      <c r="Z415" s="91"/>
      <c r="AA415" s="7"/>
      <c r="AB415" s="7"/>
    </row>
    <row r="416" spans="1:28" s="85" customFormat="1" ht="46.5" customHeight="1">
      <c r="A416" s="158" t="s">
        <v>124</v>
      </c>
      <c r="B416" s="119" t="s">
        <v>125</v>
      </c>
      <c r="C416" s="46" t="s">
        <v>223</v>
      </c>
      <c r="D416" s="83" t="s">
        <v>172</v>
      </c>
      <c r="E416" s="92">
        <f>W416</f>
        <v>3853.17</v>
      </c>
      <c r="F416" s="23" t="s">
        <v>14</v>
      </c>
      <c r="G416" s="23" t="s">
        <v>14</v>
      </c>
      <c r="H416" s="84">
        <f t="shared" si="51"/>
        <v>24527.33609116658</v>
      </c>
      <c r="I416" s="84">
        <f>I417+I418+I419+I420+I421</f>
        <v>21425.67782848786</v>
      </c>
      <c r="J416" s="84">
        <f>J417+J418+J419+J420+J421</f>
        <v>0</v>
      </c>
      <c r="K416" s="84">
        <f>K417+K418+K419+K420+K421</f>
        <v>3101.6582626787208</v>
      </c>
      <c r="L416" s="84">
        <f>L417+L418+L419+L420+L421</f>
        <v>0</v>
      </c>
      <c r="M416" s="20"/>
      <c r="N416" s="30">
        <f>SUM(N417:N421)</f>
        <v>3793.7061300105793</v>
      </c>
      <c r="O416" s="87"/>
      <c r="P416" s="87"/>
      <c r="Q416" s="87"/>
      <c r="R416" s="87"/>
      <c r="S416" s="87"/>
      <c r="T416" s="87"/>
      <c r="U416" s="87"/>
      <c r="V416" s="68"/>
      <c r="W416" s="30">
        <f>W417+W418+W419+W420+W421</f>
        <v>3853.17</v>
      </c>
      <c r="Z416" s="86"/>
      <c r="AA416" s="7"/>
      <c r="AB416" s="7"/>
    </row>
    <row r="417" spans="1:28" s="85" customFormat="1">
      <c r="A417" s="159"/>
      <c r="B417" s="19" t="s">
        <v>19</v>
      </c>
      <c r="C417" s="15" t="s">
        <v>14</v>
      </c>
      <c r="D417" s="15" t="s">
        <v>14</v>
      </c>
      <c r="E417" s="23" t="s">
        <v>14</v>
      </c>
      <c r="F417" s="4">
        <v>0</v>
      </c>
      <c r="G417" s="84">
        <v>0</v>
      </c>
      <c r="H417" s="84">
        <f t="shared" si="51"/>
        <v>0</v>
      </c>
      <c r="I417" s="4">
        <v>0</v>
      </c>
      <c r="J417" s="4">
        <v>0</v>
      </c>
      <c r="K417" s="4">
        <v>0</v>
      </c>
      <c r="L417" s="4">
        <v>0</v>
      </c>
      <c r="M417" s="20">
        <v>6.0168239999999997</v>
      </c>
      <c r="N417" s="31">
        <f>H417/M417</f>
        <v>0</v>
      </c>
      <c r="O417" s="87"/>
      <c r="P417" s="87"/>
      <c r="Q417" s="87"/>
      <c r="R417" s="87"/>
      <c r="S417" s="87"/>
      <c r="T417" s="87"/>
      <c r="U417" s="87"/>
      <c r="V417" s="68">
        <v>5.4316964175493174</v>
      </c>
      <c r="W417" s="31">
        <f>H417/V417</f>
        <v>0</v>
      </c>
      <c r="Z417" s="86"/>
      <c r="AA417" s="7"/>
      <c r="AB417" s="7"/>
    </row>
    <row r="418" spans="1:28" s="85" customFormat="1">
      <c r="A418" s="159"/>
      <c r="B418" s="19" t="s">
        <v>20</v>
      </c>
      <c r="C418" s="15" t="s">
        <v>14</v>
      </c>
      <c r="D418" s="15" t="s">
        <v>14</v>
      </c>
      <c r="E418" s="23" t="s">
        <v>14</v>
      </c>
      <c r="F418" s="4">
        <f>G418/V418</f>
        <v>3930.6628351228492</v>
      </c>
      <c r="G418" s="84">
        <f>H416</f>
        <v>24527.33609116658</v>
      </c>
      <c r="H418" s="84">
        <f t="shared" si="51"/>
        <v>19659</v>
      </c>
      <c r="I418" s="4">
        <v>19659</v>
      </c>
      <c r="J418" s="4">
        <v>0</v>
      </c>
      <c r="K418" s="4">
        <v>0</v>
      </c>
      <c r="L418" s="4">
        <v>0</v>
      </c>
      <c r="M418" s="20">
        <v>6.3597829679999993</v>
      </c>
      <c r="N418" s="31">
        <f>H418/M418</f>
        <v>3091.143219653341</v>
      </c>
      <c r="O418" s="87"/>
      <c r="P418" s="87"/>
      <c r="Q418" s="87"/>
      <c r="R418" s="87"/>
      <c r="S418" s="87"/>
      <c r="T418" s="87"/>
      <c r="U418" s="87"/>
      <c r="V418" s="68">
        <v>6.24</v>
      </c>
      <c r="W418" s="31">
        <f>H418/V418</f>
        <v>3150.4807692307691</v>
      </c>
      <c r="Z418" s="86"/>
      <c r="AA418" s="7"/>
      <c r="AB418" s="7"/>
    </row>
    <row r="419" spans="1:28" s="85" customFormat="1">
      <c r="A419" s="159"/>
      <c r="B419" s="19" t="s">
        <v>28</v>
      </c>
      <c r="C419" s="15" t="s">
        <v>14</v>
      </c>
      <c r="D419" s="15" t="s">
        <v>14</v>
      </c>
      <c r="E419" s="23" t="s">
        <v>14</v>
      </c>
      <c r="F419" s="4">
        <f>G419/V419</f>
        <v>726.61732703978805</v>
      </c>
      <c r="G419" s="84">
        <f>G418-H418</f>
        <v>4868.3360911665804</v>
      </c>
      <c r="H419" s="84">
        <f t="shared" si="51"/>
        <v>1766.6778284878587</v>
      </c>
      <c r="I419" s="4">
        <v>1766.6778284878587</v>
      </c>
      <c r="J419" s="4">
        <v>0</v>
      </c>
      <c r="K419" s="4">
        <v>0</v>
      </c>
      <c r="L419" s="4">
        <v>0</v>
      </c>
      <c r="M419" s="21">
        <v>6.7032112482719999</v>
      </c>
      <c r="N419" s="31">
        <f>H419/M419</f>
        <v>263.55693757127005</v>
      </c>
      <c r="O419" s="87"/>
      <c r="P419" s="87"/>
      <c r="Q419" s="87"/>
      <c r="R419" s="87"/>
      <c r="S419" s="87"/>
      <c r="T419" s="87"/>
      <c r="U419" s="87"/>
      <c r="V419" s="72">
        <v>6.7</v>
      </c>
      <c r="W419" s="31">
        <f>H419/V419</f>
        <v>263.68325798326248</v>
      </c>
      <c r="Z419" s="86"/>
      <c r="AA419" s="7"/>
      <c r="AB419" s="7"/>
    </row>
    <row r="420" spans="1:28" s="85" customFormat="1">
      <c r="A420" s="159"/>
      <c r="B420" s="19" t="s">
        <v>29</v>
      </c>
      <c r="C420" s="15" t="s">
        <v>14</v>
      </c>
      <c r="D420" s="15" t="s">
        <v>14</v>
      </c>
      <c r="E420" s="23" t="s">
        <v>14</v>
      </c>
      <c r="F420" s="4">
        <f>G420/V420</f>
        <v>439.00597278596865</v>
      </c>
      <c r="G420" s="84">
        <f>G419-H419</f>
        <v>3101.6582626787217</v>
      </c>
      <c r="H420" s="84">
        <f t="shared" si="51"/>
        <v>3101.6582626787208</v>
      </c>
      <c r="I420" s="4">
        <v>0</v>
      </c>
      <c r="J420" s="4">
        <v>0</v>
      </c>
      <c r="K420" s="4">
        <v>3101.6582626787208</v>
      </c>
      <c r="L420" s="4">
        <v>0</v>
      </c>
      <c r="M420" s="21">
        <v>7.0651846556786886</v>
      </c>
      <c r="N420" s="31">
        <f>H420/M420</f>
        <v>439.00597278596854</v>
      </c>
      <c r="O420" s="87"/>
      <c r="P420" s="87"/>
      <c r="Q420" s="87"/>
      <c r="R420" s="87"/>
      <c r="S420" s="87"/>
      <c r="T420" s="87"/>
      <c r="U420" s="87"/>
      <c r="V420" s="72">
        <v>7.0651846556786886</v>
      </c>
      <c r="W420" s="31">
        <f>H420/V420</f>
        <v>439.00597278596854</v>
      </c>
      <c r="Z420" s="86"/>
      <c r="AA420" s="7"/>
      <c r="AB420" s="7"/>
    </row>
    <row r="421" spans="1:28" s="85" customFormat="1">
      <c r="A421" s="160"/>
      <c r="B421" s="19" t="s">
        <v>30</v>
      </c>
      <c r="C421" s="15" t="s">
        <v>14</v>
      </c>
      <c r="D421" s="15" t="s">
        <v>14</v>
      </c>
      <c r="E421" s="23" t="s">
        <v>14</v>
      </c>
      <c r="F421" s="4">
        <f>G421/V421</f>
        <v>0</v>
      </c>
      <c r="G421" s="84">
        <f>G420-H420</f>
        <v>0</v>
      </c>
      <c r="H421" s="84">
        <f t="shared" si="51"/>
        <v>0</v>
      </c>
      <c r="I421" s="4">
        <v>0</v>
      </c>
      <c r="J421" s="4">
        <v>0</v>
      </c>
      <c r="K421" s="4">
        <v>0</v>
      </c>
      <c r="L421" s="4">
        <v>0</v>
      </c>
      <c r="M421" s="21">
        <v>7.4467046270853379</v>
      </c>
      <c r="N421" s="31">
        <f>H421/M421</f>
        <v>0</v>
      </c>
      <c r="O421" s="87"/>
      <c r="P421" s="87"/>
      <c r="Q421" s="87"/>
      <c r="R421" s="87"/>
      <c r="S421" s="87"/>
      <c r="T421" s="87"/>
      <c r="U421" s="87"/>
      <c r="V421" s="72">
        <v>7.4467046270853379</v>
      </c>
      <c r="W421" s="31">
        <f>H421/V421</f>
        <v>0</v>
      </c>
      <c r="Z421" s="86"/>
      <c r="AA421" s="7"/>
      <c r="AB421" s="7"/>
    </row>
    <row r="422" spans="1:28" s="85" customFormat="1" ht="39" customHeight="1">
      <c r="A422" s="158" t="s">
        <v>126</v>
      </c>
      <c r="B422" s="19" t="s">
        <v>127</v>
      </c>
      <c r="C422" s="67" t="s">
        <v>15</v>
      </c>
      <c r="D422" s="83" t="s">
        <v>179</v>
      </c>
      <c r="E422" s="84">
        <v>27810.269990426976</v>
      </c>
      <c r="F422" s="23" t="s">
        <v>14</v>
      </c>
      <c r="G422" s="23" t="s">
        <v>14</v>
      </c>
      <c r="H422" s="84">
        <f t="shared" si="51"/>
        <v>136000</v>
      </c>
      <c r="I422" s="4">
        <f>I423+I424+I425+I426+I427</f>
        <v>0</v>
      </c>
      <c r="J422" s="4">
        <f>J423+J424+J425+J426+J427</f>
        <v>0</v>
      </c>
      <c r="K422" s="4">
        <f>K423+K424+K425+K426+K427</f>
        <v>136000</v>
      </c>
      <c r="L422" s="4">
        <f>L423+L424+L425+L426+L427</f>
        <v>0</v>
      </c>
      <c r="M422" s="20"/>
      <c r="N422" s="30">
        <f>SUM(N423:N427)</f>
        <v>27810.269990426976</v>
      </c>
      <c r="O422" s="79"/>
      <c r="P422" s="79"/>
      <c r="Q422" s="79"/>
      <c r="R422" s="79"/>
      <c r="S422" s="79"/>
      <c r="T422" s="79"/>
      <c r="U422" s="79"/>
      <c r="V422" s="68"/>
      <c r="W422" s="30">
        <f>W423+W424+W425+W426+W427</f>
        <v>18756.215936372922</v>
      </c>
      <c r="Z422" s="86"/>
      <c r="AA422" s="7"/>
      <c r="AB422" s="7"/>
    </row>
    <row r="423" spans="1:28" s="85" customFormat="1">
      <c r="A423" s="159"/>
      <c r="B423" s="19" t="s">
        <v>19</v>
      </c>
      <c r="C423" s="15" t="s">
        <v>14</v>
      </c>
      <c r="D423" s="15" t="s">
        <v>14</v>
      </c>
      <c r="E423" s="23" t="s">
        <v>14</v>
      </c>
      <c r="F423" s="4">
        <v>0</v>
      </c>
      <c r="G423" s="84">
        <f>F423*V423</f>
        <v>0</v>
      </c>
      <c r="H423" s="84">
        <f t="shared" si="51"/>
        <v>0</v>
      </c>
      <c r="I423" s="84">
        <v>0</v>
      </c>
      <c r="J423" s="84">
        <v>0</v>
      </c>
      <c r="K423" s="84">
        <v>0</v>
      </c>
      <c r="L423" s="84">
        <v>0</v>
      </c>
      <c r="M423" s="20">
        <v>6.0168239999999997</v>
      </c>
      <c r="N423" s="31">
        <f>H423/M423</f>
        <v>0</v>
      </c>
      <c r="O423" s="87"/>
      <c r="P423" s="87"/>
      <c r="Q423" s="87"/>
      <c r="R423" s="87"/>
      <c r="S423" s="87"/>
      <c r="T423" s="87"/>
      <c r="U423" s="87"/>
      <c r="V423" s="68">
        <v>5.4316964175493174</v>
      </c>
      <c r="W423" s="31">
        <f>H423/V423</f>
        <v>0</v>
      </c>
      <c r="Z423" s="86"/>
      <c r="AA423" s="7"/>
      <c r="AB423" s="7"/>
    </row>
    <row r="424" spans="1:28" s="85" customFormat="1">
      <c r="A424" s="159"/>
      <c r="B424" s="19" t="s">
        <v>20</v>
      </c>
      <c r="C424" s="15" t="s">
        <v>14</v>
      </c>
      <c r="D424" s="15" t="s">
        <v>14</v>
      </c>
      <c r="E424" s="23" t="s">
        <v>14</v>
      </c>
      <c r="F424" s="4">
        <v>0</v>
      </c>
      <c r="G424" s="84">
        <v>0</v>
      </c>
      <c r="H424" s="84">
        <f t="shared" si="51"/>
        <v>0</v>
      </c>
      <c r="I424" s="84">
        <v>0</v>
      </c>
      <c r="J424" s="84">
        <v>0</v>
      </c>
      <c r="K424" s="84">
        <v>0</v>
      </c>
      <c r="L424" s="84">
        <v>0</v>
      </c>
      <c r="M424" s="20">
        <v>6.3597829679999993</v>
      </c>
      <c r="N424" s="31">
        <f>H424/M424</f>
        <v>0</v>
      </c>
      <c r="O424" s="87"/>
      <c r="P424" s="87"/>
      <c r="Q424" s="87"/>
      <c r="R424" s="87"/>
      <c r="S424" s="87"/>
      <c r="T424" s="87"/>
      <c r="U424" s="87"/>
      <c r="V424" s="68">
        <v>6.24</v>
      </c>
      <c r="W424" s="31">
        <f>H424/V424</f>
        <v>0</v>
      </c>
      <c r="Z424" s="86"/>
      <c r="AA424" s="7"/>
      <c r="AB424" s="7"/>
    </row>
    <row r="425" spans="1:28" s="85" customFormat="1">
      <c r="A425" s="159"/>
      <c r="B425" s="19" t="s">
        <v>28</v>
      </c>
      <c r="C425" s="15" t="s">
        <v>14</v>
      </c>
      <c r="D425" s="15" t="s">
        <v>14</v>
      </c>
      <c r="E425" s="23" t="s">
        <v>14</v>
      </c>
      <c r="F425" s="4">
        <v>0</v>
      </c>
      <c r="G425" s="84">
        <v>0</v>
      </c>
      <c r="H425" s="84">
        <f t="shared" si="51"/>
        <v>0</v>
      </c>
      <c r="I425" s="84">
        <v>0</v>
      </c>
      <c r="J425" s="84">
        <v>0</v>
      </c>
      <c r="K425" s="84">
        <v>0</v>
      </c>
      <c r="L425" s="84">
        <v>0</v>
      </c>
      <c r="M425" s="21">
        <v>6.7032112482719999</v>
      </c>
      <c r="N425" s="31">
        <f>67000/7.4</f>
        <v>9054.0540540540533</v>
      </c>
      <c r="O425" s="87"/>
      <c r="P425" s="87"/>
      <c r="Q425" s="87"/>
      <c r="R425" s="87"/>
      <c r="S425" s="87"/>
      <c r="T425" s="87"/>
      <c r="U425" s="87"/>
      <c r="V425" s="72">
        <v>6.7</v>
      </c>
      <c r="W425" s="31">
        <f>H425/V425</f>
        <v>0</v>
      </c>
      <c r="Z425" s="86"/>
      <c r="AA425" s="7"/>
      <c r="AB425" s="7"/>
    </row>
    <row r="426" spans="1:28" s="85" customFormat="1">
      <c r="A426" s="159"/>
      <c r="B426" s="19" t="s">
        <v>29</v>
      </c>
      <c r="C426" s="15" t="s">
        <v>14</v>
      </c>
      <c r="D426" s="15" t="s">
        <v>14</v>
      </c>
      <c r="E426" s="23" t="s">
        <v>14</v>
      </c>
      <c r="F426" s="4">
        <f>G426/M426</f>
        <v>19249.319958069194</v>
      </c>
      <c r="G426" s="84">
        <f>H422</f>
        <v>136000</v>
      </c>
      <c r="H426" s="84">
        <f t="shared" si="51"/>
        <v>68000</v>
      </c>
      <c r="I426" s="84">
        <v>0</v>
      </c>
      <c r="J426" s="84">
        <v>0</v>
      </c>
      <c r="K426" s="84">
        <v>68000</v>
      </c>
      <c r="L426" s="84">
        <v>0</v>
      </c>
      <c r="M426" s="21">
        <v>7.0651846556786886</v>
      </c>
      <c r="N426" s="31">
        <f>H426/M426</f>
        <v>9624.6599790345972</v>
      </c>
      <c r="O426" s="87"/>
      <c r="P426" s="87"/>
      <c r="Q426" s="87"/>
      <c r="R426" s="87"/>
      <c r="S426" s="87"/>
      <c r="T426" s="87"/>
      <c r="U426" s="87"/>
      <c r="V426" s="72">
        <v>7.0651846556786886</v>
      </c>
      <c r="W426" s="31">
        <f>H426/V426</f>
        <v>9624.6599790345972</v>
      </c>
      <c r="Z426" s="86"/>
      <c r="AA426" s="7"/>
      <c r="AB426" s="7"/>
    </row>
    <row r="427" spans="1:28" s="85" customFormat="1">
      <c r="A427" s="160"/>
      <c r="B427" s="19" t="s">
        <v>30</v>
      </c>
      <c r="C427" s="15" t="s">
        <v>14</v>
      </c>
      <c r="D427" s="15" t="s">
        <v>14</v>
      </c>
      <c r="E427" s="23" t="s">
        <v>14</v>
      </c>
      <c r="F427" s="4">
        <f>G427/M427</f>
        <v>9131.5559573383271</v>
      </c>
      <c r="G427" s="84">
        <f>G426-H426</f>
        <v>68000</v>
      </c>
      <c r="H427" s="84">
        <f t="shared" si="51"/>
        <v>68000</v>
      </c>
      <c r="I427" s="84">
        <v>0</v>
      </c>
      <c r="J427" s="84">
        <v>0</v>
      </c>
      <c r="K427" s="84">
        <v>68000</v>
      </c>
      <c r="L427" s="84">
        <v>0</v>
      </c>
      <c r="M427" s="21">
        <v>7.4467046270853379</v>
      </c>
      <c r="N427" s="31">
        <f>H427/M427</f>
        <v>9131.5559573383271</v>
      </c>
      <c r="O427" s="87"/>
      <c r="P427" s="87"/>
      <c r="Q427" s="87"/>
      <c r="R427" s="87"/>
      <c r="S427" s="87"/>
      <c r="T427" s="87"/>
      <c r="U427" s="87"/>
      <c r="V427" s="72">
        <v>7.4467046270853379</v>
      </c>
      <c r="W427" s="31">
        <f>H427/V427</f>
        <v>9131.5559573383271</v>
      </c>
      <c r="Z427" s="86"/>
      <c r="AA427" s="7"/>
      <c r="AB427" s="7"/>
    </row>
    <row r="428" spans="1:28" s="85" customFormat="1" ht="45.75" customHeight="1">
      <c r="A428" s="158" t="s">
        <v>128</v>
      </c>
      <c r="B428" s="19" t="s">
        <v>129</v>
      </c>
      <c r="C428" s="67" t="s">
        <v>15</v>
      </c>
      <c r="D428" s="83" t="s">
        <v>179</v>
      </c>
      <c r="E428" s="84">
        <v>13905.134995213488</v>
      </c>
      <c r="F428" s="23" t="s">
        <v>14</v>
      </c>
      <c r="G428" s="23" t="s">
        <v>14</v>
      </c>
      <c r="H428" s="84">
        <f t="shared" si="51"/>
        <v>68000</v>
      </c>
      <c r="I428" s="84">
        <f>SUM(I429:I433)</f>
        <v>0</v>
      </c>
      <c r="J428" s="84">
        <f>SUM(J429:J433)</f>
        <v>0</v>
      </c>
      <c r="K428" s="84">
        <f>SUM(K429:K433)</f>
        <v>68000</v>
      </c>
      <c r="L428" s="84">
        <f>SUM(L429:L433)</f>
        <v>0</v>
      </c>
      <c r="M428" s="20"/>
      <c r="N428" s="30">
        <f>SUM(N429:N433)</f>
        <v>13905.134995213488</v>
      </c>
      <c r="O428" s="79"/>
      <c r="P428" s="79"/>
      <c r="Q428" s="79"/>
      <c r="R428" s="79"/>
      <c r="S428" s="79"/>
      <c r="T428" s="79"/>
      <c r="U428" s="79"/>
      <c r="V428" s="68"/>
      <c r="W428" s="30">
        <f>W429+W430+W431+W432+W433</f>
        <v>9378.1079681864612</v>
      </c>
      <c r="Z428" s="86"/>
      <c r="AA428" s="7"/>
      <c r="AB428" s="7"/>
    </row>
    <row r="429" spans="1:28" s="85" customFormat="1">
      <c r="A429" s="159"/>
      <c r="B429" s="19" t="s">
        <v>19</v>
      </c>
      <c r="C429" s="15" t="s">
        <v>14</v>
      </c>
      <c r="D429" s="15" t="s">
        <v>14</v>
      </c>
      <c r="E429" s="23" t="s">
        <v>14</v>
      </c>
      <c r="F429" s="4">
        <v>0</v>
      </c>
      <c r="G429" s="84">
        <f>F429*V429</f>
        <v>0</v>
      </c>
      <c r="H429" s="84">
        <f t="shared" si="51"/>
        <v>0</v>
      </c>
      <c r="I429" s="84">
        <v>0</v>
      </c>
      <c r="J429" s="84">
        <v>0</v>
      </c>
      <c r="K429" s="84">
        <v>0</v>
      </c>
      <c r="L429" s="84">
        <v>0</v>
      </c>
      <c r="M429" s="20">
        <v>6.0168239999999997</v>
      </c>
      <c r="N429" s="31">
        <f>H429/M429</f>
        <v>0</v>
      </c>
      <c r="O429" s="87"/>
      <c r="P429" s="87"/>
      <c r="Q429" s="87"/>
      <c r="R429" s="87"/>
      <c r="S429" s="87"/>
      <c r="T429" s="87"/>
      <c r="U429" s="87"/>
      <c r="V429" s="68">
        <v>5.4316964175493174</v>
      </c>
      <c r="W429" s="31">
        <f>H429/V429</f>
        <v>0</v>
      </c>
      <c r="Z429" s="86"/>
      <c r="AA429" s="7"/>
      <c r="AB429" s="7"/>
    </row>
    <row r="430" spans="1:28" s="85" customFormat="1">
      <c r="A430" s="159"/>
      <c r="B430" s="19" t="s">
        <v>20</v>
      </c>
      <c r="C430" s="15" t="s">
        <v>14</v>
      </c>
      <c r="D430" s="15" t="s">
        <v>14</v>
      </c>
      <c r="E430" s="23" t="s">
        <v>14</v>
      </c>
      <c r="F430" s="4">
        <v>0</v>
      </c>
      <c r="G430" s="84">
        <v>0</v>
      </c>
      <c r="H430" s="84">
        <f t="shared" si="51"/>
        <v>0</v>
      </c>
      <c r="I430" s="84">
        <v>0</v>
      </c>
      <c r="J430" s="84">
        <v>0</v>
      </c>
      <c r="K430" s="84">
        <v>0</v>
      </c>
      <c r="L430" s="84">
        <v>0</v>
      </c>
      <c r="M430" s="20">
        <v>6.3597829679999993</v>
      </c>
      <c r="N430" s="31">
        <f>H430/M430</f>
        <v>0</v>
      </c>
      <c r="O430" s="87"/>
      <c r="P430" s="87"/>
      <c r="Q430" s="87"/>
      <c r="R430" s="87"/>
      <c r="S430" s="87"/>
      <c r="T430" s="87"/>
      <c r="U430" s="87"/>
      <c r="V430" s="68">
        <v>6.24</v>
      </c>
      <c r="W430" s="31">
        <f>H430/V430</f>
        <v>0</v>
      </c>
      <c r="Z430" s="86"/>
      <c r="AA430" s="7"/>
      <c r="AB430" s="7"/>
    </row>
    <row r="431" spans="1:28" s="85" customFormat="1">
      <c r="A431" s="159"/>
      <c r="B431" s="19" t="s">
        <v>28</v>
      </c>
      <c r="C431" s="15" t="s">
        <v>14</v>
      </c>
      <c r="D431" s="15" t="s">
        <v>14</v>
      </c>
      <c r="E431" s="23" t="s">
        <v>14</v>
      </c>
      <c r="F431" s="4">
        <v>0</v>
      </c>
      <c r="G431" s="84">
        <v>0</v>
      </c>
      <c r="H431" s="84">
        <f t="shared" si="51"/>
        <v>0</v>
      </c>
      <c r="I431" s="84">
        <v>0</v>
      </c>
      <c r="J431" s="84">
        <v>0</v>
      </c>
      <c r="K431" s="84">
        <v>0</v>
      </c>
      <c r="L431" s="84">
        <v>0</v>
      </c>
      <c r="M431" s="21">
        <v>6.7032112482719999</v>
      </c>
      <c r="N431" s="31">
        <f>33500/7.4</f>
        <v>4527.0270270270266</v>
      </c>
      <c r="O431" s="87"/>
      <c r="P431" s="87"/>
      <c r="Q431" s="87"/>
      <c r="R431" s="87"/>
      <c r="S431" s="87"/>
      <c r="T431" s="87"/>
      <c r="U431" s="87"/>
      <c r="V431" s="72">
        <v>6.7</v>
      </c>
      <c r="W431" s="31">
        <f>H431/V431</f>
        <v>0</v>
      </c>
      <c r="Z431" s="86"/>
      <c r="AA431" s="7"/>
      <c r="AB431" s="7"/>
    </row>
    <row r="432" spans="1:28" s="85" customFormat="1">
      <c r="A432" s="159"/>
      <c r="B432" s="19" t="s">
        <v>29</v>
      </c>
      <c r="C432" s="15" t="s">
        <v>14</v>
      </c>
      <c r="D432" s="15" t="s">
        <v>14</v>
      </c>
      <c r="E432" s="23" t="s">
        <v>14</v>
      </c>
      <c r="F432" s="4">
        <f>G432/M432</f>
        <v>9624.6599790345972</v>
      </c>
      <c r="G432" s="84">
        <f>H428</f>
        <v>68000</v>
      </c>
      <c r="H432" s="84">
        <f t="shared" si="51"/>
        <v>34000</v>
      </c>
      <c r="I432" s="84">
        <v>0</v>
      </c>
      <c r="J432" s="84">
        <v>0</v>
      </c>
      <c r="K432" s="84">
        <v>34000</v>
      </c>
      <c r="L432" s="84">
        <v>0</v>
      </c>
      <c r="M432" s="21">
        <v>7.0651846556786886</v>
      </c>
      <c r="N432" s="31">
        <f>H432/M432</f>
        <v>4812.3299895172986</v>
      </c>
      <c r="O432" s="87"/>
      <c r="P432" s="87"/>
      <c r="Q432" s="87"/>
      <c r="R432" s="87"/>
      <c r="S432" s="87"/>
      <c r="T432" s="87"/>
      <c r="U432" s="87"/>
      <c r="V432" s="72">
        <v>7.0651846556786886</v>
      </c>
      <c r="W432" s="31">
        <f>H432/V432</f>
        <v>4812.3299895172986</v>
      </c>
      <c r="Z432" s="86"/>
      <c r="AA432" s="7"/>
      <c r="AB432" s="7"/>
    </row>
    <row r="433" spans="1:28" s="85" customFormat="1">
      <c r="A433" s="160"/>
      <c r="B433" s="19" t="s">
        <v>30</v>
      </c>
      <c r="C433" s="15" t="s">
        <v>14</v>
      </c>
      <c r="D433" s="15" t="s">
        <v>14</v>
      </c>
      <c r="E433" s="23" t="s">
        <v>14</v>
      </c>
      <c r="F433" s="4">
        <f>G433/M433</f>
        <v>4565.7779786691635</v>
      </c>
      <c r="G433" s="84">
        <f>G432-H432</f>
        <v>34000</v>
      </c>
      <c r="H433" s="84">
        <f t="shared" si="51"/>
        <v>34000</v>
      </c>
      <c r="I433" s="84">
        <v>0</v>
      </c>
      <c r="J433" s="84">
        <v>0</v>
      </c>
      <c r="K433" s="84">
        <v>34000</v>
      </c>
      <c r="L433" s="84">
        <v>0</v>
      </c>
      <c r="M433" s="21">
        <v>7.4467046270853379</v>
      </c>
      <c r="N433" s="31">
        <f>H433/M433</f>
        <v>4565.7779786691635</v>
      </c>
      <c r="O433" s="87"/>
      <c r="P433" s="87"/>
      <c r="Q433" s="87"/>
      <c r="R433" s="87"/>
      <c r="S433" s="87"/>
      <c r="T433" s="87"/>
      <c r="U433" s="87"/>
      <c r="V433" s="72">
        <v>7.4467046270853379</v>
      </c>
      <c r="W433" s="31">
        <f>H433/V433</f>
        <v>4565.7779786691635</v>
      </c>
      <c r="Z433" s="86"/>
      <c r="AA433" s="7"/>
      <c r="AB433" s="7"/>
    </row>
    <row r="434" spans="1:28" s="85" customFormat="1" ht="69.75" customHeight="1">
      <c r="A434" s="158" t="s">
        <v>130</v>
      </c>
      <c r="B434" s="81" t="s">
        <v>178</v>
      </c>
      <c r="C434" s="67" t="s">
        <v>15</v>
      </c>
      <c r="D434" s="83" t="s">
        <v>63</v>
      </c>
      <c r="E434" s="84">
        <v>433454.52088485612</v>
      </c>
      <c r="F434" s="23" t="s">
        <v>14</v>
      </c>
      <c r="G434" s="23" t="s">
        <v>14</v>
      </c>
      <c r="H434" s="84">
        <f t="shared" si="51"/>
        <v>3059100</v>
      </c>
      <c r="I434" s="4">
        <f>I435+I436+I437+I438+I439</f>
        <v>0</v>
      </c>
      <c r="J434" s="4">
        <f>J435+J436+J437+J438+J439</f>
        <v>0</v>
      </c>
      <c r="K434" s="4">
        <f>K435+K436+K437+K438+K439</f>
        <v>0</v>
      </c>
      <c r="L434" s="4">
        <f>L435+L436+L437+L438+L439</f>
        <v>3059100</v>
      </c>
      <c r="M434" s="20"/>
      <c r="N434" s="30">
        <f>SUM(N435:N439)</f>
        <v>433381.61063374428</v>
      </c>
      <c r="O434" s="79"/>
      <c r="P434" s="79"/>
      <c r="Q434" s="79"/>
      <c r="R434" s="79"/>
      <c r="S434" s="79"/>
      <c r="T434" s="79"/>
      <c r="U434" s="79"/>
      <c r="V434" s="68"/>
      <c r="W434" s="30">
        <f>W435+W436+W437+W438+W439</f>
        <v>433454.52088485612</v>
      </c>
      <c r="Z434" s="86"/>
      <c r="AA434" s="7"/>
      <c r="AB434" s="7"/>
    </row>
    <row r="435" spans="1:28" s="85" customFormat="1">
      <c r="A435" s="159"/>
      <c r="B435" s="19" t="s">
        <v>19</v>
      </c>
      <c r="C435" s="15" t="s">
        <v>14</v>
      </c>
      <c r="D435" s="15" t="s">
        <v>14</v>
      </c>
      <c r="E435" s="23" t="s">
        <v>14</v>
      </c>
      <c r="F435" s="4">
        <v>0</v>
      </c>
      <c r="G435" s="84">
        <f>F435*V435</f>
        <v>0</v>
      </c>
      <c r="H435" s="84">
        <f t="shared" si="51"/>
        <v>0</v>
      </c>
      <c r="I435" s="84">
        <v>0</v>
      </c>
      <c r="J435" s="84">
        <v>0</v>
      </c>
      <c r="K435" s="84">
        <v>0</v>
      </c>
      <c r="L435" s="84">
        <v>0</v>
      </c>
      <c r="M435" s="20">
        <v>6.0168239999999997</v>
      </c>
      <c r="N435" s="31">
        <f>H435/M435</f>
        <v>0</v>
      </c>
      <c r="O435" s="87"/>
      <c r="P435" s="87"/>
      <c r="Q435" s="87"/>
      <c r="R435" s="87"/>
      <c r="S435" s="87"/>
      <c r="T435" s="87"/>
      <c r="U435" s="87"/>
      <c r="V435" s="68">
        <v>5.4316964175493174</v>
      </c>
      <c r="W435" s="31">
        <f>H435/V435</f>
        <v>0</v>
      </c>
      <c r="Z435" s="86"/>
      <c r="AA435" s="7"/>
      <c r="AB435" s="7"/>
    </row>
    <row r="436" spans="1:28" s="85" customFormat="1">
      <c r="A436" s="159"/>
      <c r="B436" s="19" t="s">
        <v>20</v>
      </c>
      <c r="C436" s="15" t="s">
        <v>14</v>
      </c>
      <c r="D436" s="15" t="s">
        <v>14</v>
      </c>
      <c r="E436" s="23" t="s">
        <v>14</v>
      </c>
      <c r="F436" s="4">
        <v>0</v>
      </c>
      <c r="G436" s="84">
        <v>0</v>
      </c>
      <c r="H436" s="84">
        <f t="shared" si="51"/>
        <v>0</v>
      </c>
      <c r="I436" s="84">
        <v>0</v>
      </c>
      <c r="J436" s="84">
        <v>0</v>
      </c>
      <c r="K436" s="84">
        <v>0</v>
      </c>
      <c r="L436" s="84">
        <v>0</v>
      </c>
      <c r="M436" s="20">
        <v>6.3597829679999993</v>
      </c>
      <c r="N436" s="31">
        <f>H436/M436</f>
        <v>0</v>
      </c>
      <c r="O436" s="87"/>
      <c r="P436" s="87"/>
      <c r="Q436" s="87"/>
      <c r="R436" s="87"/>
      <c r="S436" s="87"/>
      <c r="T436" s="87"/>
      <c r="U436" s="87"/>
      <c r="V436" s="68">
        <v>6.24</v>
      </c>
      <c r="W436" s="31">
        <f>H436/V436</f>
        <v>0</v>
      </c>
      <c r="Z436" s="86"/>
      <c r="AA436" s="7"/>
      <c r="AB436" s="7"/>
    </row>
    <row r="437" spans="1:28" s="85" customFormat="1">
      <c r="A437" s="159"/>
      <c r="B437" s="19" t="s">
        <v>28</v>
      </c>
      <c r="C437" s="15" t="s">
        <v>14</v>
      </c>
      <c r="D437" s="15" t="s">
        <v>14</v>
      </c>
      <c r="E437" s="23" t="s">
        <v>14</v>
      </c>
      <c r="F437" s="4">
        <f>E434</f>
        <v>433454.52088485612</v>
      </c>
      <c r="G437" s="84">
        <f>H434</f>
        <v>3059100</v>
      </c>
      <c r="H437" s="84">
        <f t="shared" si="51"/>
        <v>1019700</v>
      </c>
      <c r="I437" s="84">
        <v>0</v>
      </c>
      <c r="J437" s="84">
        <v>0</v>
      </c>
      <c r="K437" s="84">
        <v>0</v>
      </c>
      <c r="L437" s="84">
        <v>1019700</v>
      </c>
      <c r="M437" s="21">
        <v>6.7032112482719999</v>
      </c>
      <c r="N437" s="31">
        <f>H437/M437</f>
        <v>152121.11959963446</v>
      </c>
      <c r="O437" s="87"/>
      <c r="P437" s="87"/>
      <c r="Q437" s="87"/>
      <c r="R437" s="87"/>
      <c r="S437" s="87"/>
      <c r="T437" s="87"/>
      <c r="U437" s="87"/>
      <c r="V437" s="72">
        <v>6.7</v>
      </c>
      <c r="W437" s="31">
        <f>H437/V437</f>
        <v>152194.02985074627</v>
      </c>
      <c r="Z437" s="86"/>
      <c r="AA437" s="7"/>
      <c r="AB437" s="7"/>
    </row>
    <row r="438" spans="1:28" s="85" customFormat="1">
      <c r="A438" s="159"/>
      <c r="B438" s="19" t="s">
        <v>29</v>
      </c>
      <c r="C438" s="15" t="s">
        <v>14</v>
      </c>
      <c r="D438" s="15" t="s">
        <v>14</v>
      </c>
      <c r="E438" s="23" t="s">
        <v>14</v>
      </c>
      <c r="F438" s="4">
        <f>F437-W437</f>
        <v>281260.49103410984</v>
      </c>
      <c r="G438" s="84">
        <f>G437-H437</f>
        <v>2039400</v>
      </c>
      <c r="H438" s="84">
        <f t="shared" si="51"/>
        <v>1019700</v>
      </c>
      <c r="I438" s="84">
        <v>0</v>
      </c>
      <c r="J438" s="84">
        <v>0</v>
      </c>
      <c r="K438" s="84">
        <v>0</v>
      </c>
      <c r="L438" s="84">
        <v>1019700</v>
      </c>
      <c r="M438" s="21">
        <v>7.0651846556786886</v>
      </c>
      <c r="N438" s="31">
        <f>H438/M438</f>
        <v>144327.43795031731</v>
      </c>
      <c r="O438" s="87"/>
      <c r="P438" s="87"/>
      <c r="Q438" s="87"/>
      <c r="R438" s="87"/>
      <c r="S438" s="87"/>
      <c r="T438" s="87"/>
      <c r="U438" s="87"/>
      <c r="V438" s="72">
        <v>7.0651846556786886</v>
      </c>
      <c r="W438" s="31">
        <f>H438/V438</f>
        <v>144327.43795031731</v>
      </c>
      <c r="Z438" s="86"/>
      <c r="AA438" s="7"/>
      <c r="AB438" s="7"/>
    </row>
    <row r="439" spans="1:28" s="85" customFormat="1">
      <c r="A439" s="160"/>
      <c r="B439" s="19" t="s">
        <v>30</v>
      </c>
      <c r="C439" s="15" t="s">
        <v>14</v>
      </c>
      <c r="D439" s="15" t="s">
        <v>14</v>
      </c>
      <c r="E439" s="23" t="s">
        <v>14</v>
      </c>
      <c r="F439" s="4">
        <f>F438-W438</f>
        <v>136933.05308379253</v>
      </c>
      <c r="G439" s="84">
        <f>G438-H438</f>
        <v>1019700</v>
      </c>
      <c r="H439" s="84">
        <f t="shared" si="51"/>
        <v>1019700</v>
      </c>
      <c r="I439" s="84">
        <v>0</v>
      </c>
      <c r="J439" s="84">
        <v>0</v>
      </c>
      <c r="K439" s="84">
        <v>0</v>
      </c>
      <c r="L439" s="84">
        <v>1019700</v>
      </c>
      <c r="M439" s="21">
        <v>7.4467046270853379</v>
      </c>
      <c r="N439" s="31">
        <f>H439/M439</f>
        <v>136933.05308379253</v>
      </c>
      <c r="O439" s="87"/>
      <c r="P439" s="87"/>
      <c r="Q439" s="87"/>
      <c r="R439" s="87"/>
      <c r="S439" s="87"/>
      <c r="T439" s="87"/>
      <c r="U439" s="87"/>
      <c r="V439" s="72">
        <v>7.4467046270853379</v>
      </c>
      <c r="W439" s="31">
        <f>H439/V439</f>
        <v>136933.05308379253</v>
      </c>
      <c r="Z439" s="86"/>
      <c r="AA439" s="7"/>
      <c r="AB439" s="7"/>
    </row>
    <row r="440" spans="1:28" s="85" customFormat="1" ht="36" customHeight="1">
      <c r="A440" s="158" t="s">
        <v>176</v>
      </c>
      <c r="B440" s="82" t="s">
        <v>177</v>
      </c>
      <c r="C440" s="9" t="s">
        <v>15</v>
      </c>
      <c r="D440" s="83" t="s">
        <v>107</v>
      </c>
      <c r="E440" s="92">
        <v>11920.144312472659</v>
      </c>
      <c r="F440" s="23" t="s">
        <v>14</v>
      </c>
      <c r="G440" s="23" t="s">
        <v>14</v>
      </c>
      <c r="H440" s="84">
        <f t="shared" si="51"/>
        <v>84000</v>
      </c>
      <c r="I440" s="84">
        <f>I441+I442+I443+I444+I445</f>
        <v>84000</v>
      </c>
      <c r="J440" s="84">
        <f>J441+J442+J443+J444+J445</f>
        <v>0</v>
      </c>
      <c r="K440" s="84">
        <f>K441+K442+K443+K444+K445</f>
        <v>0</v>
      </c>
      <c r="L440" s="84">
        <f>L441+L442+L443+L444+L445</f>
        <v>0</v>
      </c>
      <c r="M440" s="20"/>
      <c r="N440" s="30">
        <f>SUM(N441:N445)</f>
        <v>11919.858305799669</v>
      </c>
      <c r="O440" s="87"/>
      <c r="P440" s="87"/>
      <c r="Q440" s="87"/>
      <c r="R440" s="87"/>
      <c r="S440" s="87"/>
      <c r="T440" s="87"/>
      <c r="U440" s="87"/>
      <c r="V440" s="68"/>
      <c r="W440" s="30">
        <f>W441+W442+W443+W444+W445</f>
        <v>11920.144312472659</v>
      </c>
      <c r="Z440" s="86"/>
      <c r="AA440" s="7"/>
      <c r="AB440" s="7"/>
    </row>
    <row r="441" spans="1:28" s="85" customFormat="1">
      <c r="A441" s="159"/>
      <c r="B441" s="19" t="s">
        <v>19</v>
      </c>
      <c r="C441" s="15" t="s">
        <v>14</v>
      </c>
      <c r="D441" s="15" t="s">
        <v>14</v>
      </c>
      <c r="E441" s="23" t="s">
        <v>14</v>
      </c>
      <c r="F441" s="4">
        <v>0</v>
      </c>
      <c r="G441" s="84">
        <v>0</v>
      </c>
      <c r="H441" s="84">
        <f t="shared" si="51"/>
        <v>0</v>
      </c>
      <c r="I441" s="84">
        <v>0</v>
      </c>
      <c r="J441" s="84">
        <v>0</v>
      </c>
      <c r="K441" s="84">
        <v>0</v>
      </c>
      <c r="L441" s="84">
        <v>0</v>
      </c>
      <c r="M441" s="20">
        <v>6.0168239999999997</v>
      </c>
      <c r="N441" s="31">
        <f>H441/M441</f>
        <v>0</v>
      </c>
      <c r="O441" s="87"/>
      <c r="P441" s="87"/>
      <c r="Q441" s="87"/>
      <c r="R441" s="87"/>
      <c r="S441" s="87"/>
      <c r="T441" s="87"/>
      <c r="U441" s="87"/>
      <c r="V441" s="68">
        <v>5.4316964175493174</v>
      </c>
      <c r="W441" s="31">
        <f>H441/V441</f>
        <v>0</v>
      </c>
      <c r="Z441" s="86"/>
      <c r="AA441" s="7"/>
      <c r="AB441" s="7"/>
    </row>
    <row r="442" spans="1:28" s="85" customFormat="1">
      <c r="A442" s="159"/>
      <c r="B442" s="19" t="s">
        <v>20</v>
      </c>
      <c r="C442" s="15" t="s">
        <v>14</v>
      </c>
      <c r="D442" s="15" t="s">
        <v>14</v>
      </c>
      <c r="E442" s="23" t="s">
        <v>14</v>
      </c>
      <c r="F442" s="4">
        <v>0</v>
      </c>
      <c r="G442" s="84">
        <f>F442*V442</f>
        <v>0</v>
      </c>
      <c r="H442" s="84">
        <f t="shared" si="51"/>
        <v>0</v>
      </c>
      <c r="I442" s="84">
        <v>0</v>
      </c>
      <c r="J442" s="84">
        <v>0</v>
      </c>
      <c r="K442" s="84">
        <v>0</v>
      </c>
      <c r="L442" s="84">
        <v>0</v>
      </c>
      <c r="M442" s="20">
        <v>6.3597829679999993</v>
      </c>
      <c r="N442" s="31">
        <f>H442/M442</f>
        <v>0</v>
      </c>
      <c r="O442" s="87"/>
      <c r="P442" s="87"/>
      <c r="Q442" s="87"/>
      <c r="R442" s="87"/>
      <c r="S442" s="87"/>
      <c r="T442" s="87"/>
      <c r="U442" s="87"/>
      <c r="V442" s="68">
        <v>6.24</v>
      </c>
      <c r="W442" s="31">
        <f>H442/V442</f>
        <v>0</v>
      </c>
      <c r="Z442" s="86"/>
      <c r="AA442" s="7"/>
      <c r="AB442" s="7"/>
    </row>
    <row r="443" spans="1:28" s="85" customFormat="1">
      <c r="A443" s="159"/>
      <c r="B443" s="19" t="s">
        <v>28</v>
      </c>
      <c r="C443" s="15" t="s">
        <v>14</v>
      </c>
      <c r="D443" s="15" t="s">
        <v>14</v>
      </c>
      <c r="E443" s="23" t="s">
        <v>14</v>
      </c>
      <c r="F443" s="4">
        <f>E440</f>
        <v>11920.144312472659</v>
      </c>
      <c r="G443" s="84">
        <f>F443*V443</f>
        <v>79864.966893566816</v>
      </c>
      <c r="H443" s="84">
        <f t="shared" si="51"/>
        <v>4000</v>
      </c>
      <c r="I443" s="84">
        <v>4000</v>
      </c>
      <c r="J443" s="84">
        <v>0</v>
      </c>
      <c r="K443" s="84">
        <v>0</v>
      </c>
      <c r="L443" s="84">
        <v>0</v>
      </c>
      <c r="M443" s="21">
        <v>6.7032112482719999</v>
      </c>
      <c r="N443" s="31">
        <f>H443/M443</f>
        <v>596.72891870014507</v>
      </c>
      <c r="O443" s="87"/>
      <c r="P443" s="87"/>
      <c r="Q443" s="87"/>
      <c r="R443" s="87"/>
      <c r="S443" s="87"/>
      <c r="T443" s="87"/>
      <c r="U443" s="87"/>
      <c r="V443" s="72">
        <v>6.7</v>
      </c>
      <c r="W443" s="31">
        <f>H443/V443</f>
        <v>597.01492537313436</v>
      </c>
      <c r="Z443" s="86"/>
      <c r="AA443" s="7"/>
      <c r="AB443" s="7"/>
    </row>
    <row r="444" spans="1:28" s="85" customFormat="1">
      <c r="A444" s="159"/>
      <c r="B444" s="19" t="s">
        <v>29</v>
      </c>
      <c r="C444" s="15" t="s">
        <v>14</v>
      </c>
      <c r="D444" s="15" t="s">
        <v>14</v>
      </c>
      <c r="E444" s="23" t="s">
        <v>14</v>
      </c>
      <c r="F444" s="4">
        <f>F443-W443</f>
        <v>11323.129387099525</v>
      </c>
      <c r="G444" s="84">
        <f>F444*V444</f>
        <v>80000</v>
      </c>
      <c r="H444" s="84">
        <f t="shared" si="51"/>
        <v>80000</v>
      </c>
      <c r="I444" s="84">
        <v>80000</v>
      </c>
      <c r="J444" s="84">
        <v>0</v>
      </c>
      <c r="K444" s="84">
        <v>0</v>
      </c>
      <c r="L444" s="84">
        <v>0</v>
      </c>
      <c r="M444" s="21">
        <v>7.0651846556786886</v>
      </c>
      <c r="N444" s="31">
        <f>H444/M444</f>
        <v>11323.129387099525</v>
      </c>
      <c r="O444" s="87"/>
      <c r="P444" s="87"/>
      <c r="Q444" s="87"/>
      <c r="R444" s="87"/>
      <c r="S444" s="87"/>
      <c r="T444" s="87"/>
      <c r="U444" s="87"/>
      <c r="V444" s="72">
        <v>7.0651846556786886</v>
      </c>
      <c r="W444" s="31">
        <f>H444/V444</f>
        <v>11323.129387099525</v>
      </c>
      <c r="Z444" s="86"/>
      <c r="AA444" s="7"/>
      <c r="AB444" s="7"/>
    </row>
    <row r="445" spans="1:28" s="85" customFormat="1">
      <c r="A445" s="160"/>
      <c r="B445" s="19" t="s">
        <v>30</v>
      </c>
      <c r="C445" s="15" t="s">
        <v>14</v>
      </c>
      <c r="D445" s="15" t="s">
        <v>14</v>
      </c>
      <c r="E445" s="23" t="s">
        <v>14</v>
      </c>
      <c r="F445" s="4">
        <f>F444-W444</f>
        <v>0</v>
      </c>
      <c r="G445" s="84">
        <f>F445*V445</f>
        <v>0</v>
      </c>
      <c r="H445" s="84">
        <f t="shared" si="51"/>
        <v>0</v>
      </c>
      <c r="I445" s="84">
        <v>0</v>
      </c>
      <c r="J445" s="84">
        <v>0</v>
      </c>
      <c r="K445" s="84">
        <v>0</v>
      </c>
      <c r="L445" s="84">
        <v>0</v>
      </c>
      <c r="M445" s="21">
        <v>7.4467046270853379</v>
      </c>
      <c r="N445" s="31">
        <f>H445/M445</f>
        <v>0</v>
      </c>
      <c r="O445" s="87"/>
      <c r="P445" s="87"/>
      <c r="Q445" s="87"/>
      <c r="R445" s="87"/>
      <c r="S445" s="87"/>
      <c r="T445" s="87"/>
      <c r="U445" s="87"/>
      <c r="V445" s="72">
        <v>7.4467046270853379</v>
      </c>
      <c r="W445" s="31">
        <f>H445/V445</f>
        <v>0</v>
      </c>
      <c r="Z445" s="86"/>
      <c r="AA445" s="7"/>
      <c r="AB445" s="7"/>
    </row>
    <row r="446" spans="1:28" s="60" customFormat="1" ht="81.75" customHeight="1">
      <c r="A446" s="133" t="s">
        <v>133</v>
      </c>
      <c r="B446" s="39" t="s">
        <v>235</v>
      </c>
      <c r="C446" s="33" t="s">
        <v>14</v>
      </c>
      <c r="D446" s="74" t="s">
        <v>63</v>
      </c>
      <c r="E446" s="34" t="s">
        <v>14</v>
      </c>
      <c r="F446" s="34" t="s">
        <v>14</v>
      </c>
      <c r="G446" s="34" t="s">
        <v>14</v>
      </c>
      <c r="H446" s="35">
        <f t="shared" ref="G446:L447" si="52">H452+H458</f>
        <v>215282.65</v>
      </c>
      <c r="I446" s="35">
        <f t="shared" si="52"/>
        <v>30448</v>
      </c>
      <c r="J446" s="35">
        <f t="shared" si="52"/>
        <v>0</v>
      </c>
      <c r="K446" s="35">
        <f t="shared" si="52"/>
        <v>184834.65</v>
      </c>
      <c r="L446" s="35">
        <f t="shared" si="52"/>
        <v>0</v>
      </c>
      <c r="M446" s="61"/>
      <c r="N446" s="55">
        <f>SUM(N447:N451)</f>
        <v>30145.227335449032</v>
      </c>
    </row>
    <row r="447" spans="1:28" s="60" customFormat="1">
      <c r="A447" s="133"/>
      <c r="B447" s="39" t="s">
        <v>2</v>
      </c>
      <c r="C447" s="33" t="s">
        <v>14</v>
      </c>
      <c r="D447" s="33" t="s">
        <v>14</v>
      </c>
      <c r="E447" s="34" t="s">
        <v>14</v>
      </c>
      <c r="F447" s="35">
        <f>F453+F459</f>
        <v>10850.018215590153</v>
      </c>
      <c r="G447" s="35">
        <f t="shared" si="52"/>
        <v>65282.65</v>
      </c>
      <c r="H447" s="35">
        <f t="shared" si="52"/>
        <v>64.650000000000006</v>
      </c>
      <c r="I447" s="35">
        <f t="shared" si="52"/>
        <v>0</v>
      </c>
      <c r="J447" s="35">
        <f t="shared" si="52"/>
        <v>0</v>
      </c>
      <c r="K447" s="35">
        <f t="shared" si="52"/>
        <v>64.650000000000006</v>
      </c>
      <c r="L447" s="35">
        <f t="shared" si="52"/>
        <v>0</v>
      </c>
      <c r="M447" s="61">
        <v>6.0168239999999997</v>
      </c>
      <c r="N447" s="57">
        <f t="shared" ref="N447:N462" si="53">H447/M447</f>
        <v>10.744871380648663</v>
      </c>
    </row>
    <row r="448" spans="1:28" s="60" customFormat="1">
      <c r="A448" s="133"/>
      <c r="B448" s="39" t="s">
        <v>0</v>
      </c>
      <c r="C448" s="33" t="s">
        <v>14</v>
      </c>
      <c r="D448" s="33" t="s">
        <v>14</v>
      </c>
      <c r="E448" s="34" t="s">
        <v>14</v>
      </c>
      <c r="F448" s="35">
        <f t="shared" ref="F448:L451" si="54">F454+F460</f>
        <v>10254.752454313628</v>
      </c>
      <c r="G448" s="35">
        <f t="shared" si="54"/>
        <v>65218</v>
      </c>
      <c r="H448" s="35">
        <f t="shared" si="54"/>
        <v>0</v>
      </c>
      <c r="I448" s="35">
        <f t="shared" si="54"/>
        <v>0</v>
      </c>
      <c r="J448" s="35">
        <f t="shared" si="54"/>
        <v>0</v>
      </c>
      <c r="K448" s="35">
        <f t="shared" si="54"/>
        <v>0</v>
      </c>
      <c r="L448" s="35">
        <f t="shared" si="54"/>
        <v>0</v>
      </c>
      <c r="M448" s="61">
        <v>6.3597829679999993</v>
      </c>
      <c r="N448" s="57">
        <f t="shared" si="53"/>
        <v>0</v>
      </c>
    </row>
    <row r="449" spans="1:17" s="60" customFormat="1">
      <c r="A449" s="133"/>
      <c r="B449" s="39" t="s">
        <v>28</v>
      </c>
      <c r="C449" s="33" t="s">
        <v>14</v>
      </c>
      <c r="D449" s="33" t="s">
        <v>14</v>
      </c>
      <c r="E449" s="34" t="s">
        <v>14</v>
      </c>
      <c r="F449" s="35">
        <f t="shared" si="54"/>
        <v>32106.701106201952</v>
      </c>
      <c r="G449" s="35">
        <f t="shared" si="54"/>
        <v>215218</v>
      </c>
      <c r="H449" s="35">
        <f t="shared" si="54"/>
        <v>50000</v>
      </c>
      <c r="I449" s="35">
        <f t="shared" si="54"/>
        <v>0</v>
      </c>
      <c r="J449" s="35">
        <f t="shared" si="54"/>
        <v>0</v>
      </c>
      <c r="K449" s="35">
        <f t="shared" si="54"/>
        <v>50000</v>
      </c>
      <c r="L449" s="35">
        <f t="shared" si="54"/>
        <v>0</v>
      </c>
      <c r="M449" s="62">
        <v>6.7032112482719999</v>
      </c>
      <c r="N449" s="57">
        <f t="shared" si="53"/>
        <v>7459.1114837518135</v>
      </c>
    </row>
    <row r="450" spans="1:17" s="60" customFormat="1">
      <c r="A450" s="133"/>
      <c r="B450" s="39" t="s">
        <v>29</v>
      </c>
      <c r="C450" s="33" t="s">
        <v>14</v>
      </c>
      <c r="D450" s="33" t="s">
        <v>14</v>
      </c>
      <c r="E450" s="34" t="s">
        <v>14</v>
      </c>
      <c r="F450" s="35">
        <f t="shared" si="54"/>
        <v>23384.809888472617</v>
      </c>
      <c r="G450" s="35">
        <f t="shared" si="54"/>
        <v>165218</v>
      </c>
      <c r="H450" s="35">
        <f t="shared" si="54"/>
        <v>67385</v>
      </c>
      <c r="I450" s="35">
        <f t="shared" si="54"/>
        <v>0</v>
      </c>
      <c r="J450" s="35">
        <f t="shared" si="54"/>
        <v>0</v>
      </c>
      <c r="K450" s="35">
        <f t="shared" si="54"/>
        <v>67385</v>
      </c>
      <c r="L450" s="35">
        <f t="shared" si="54"/>
        <v>0</v>
      </c>
      <c r="M450" s="62">
        <v>7.0651846556786886</v>
      </c>
      <c r="N450" s="57">
        <f>H450/M450</f>
        <v>9537.6134218712687</v>
      </c>
    </row>
    <row r="451" spans="1:17" s="60" customFormat="1">
      <c r="A451" s="133"/>
      <c r="B451" s="39" t="s">
        <v>30</v>
      </c>
      <c r="C451" s="33" t="s">
        <v>14</v>
      </c>
      <c r="D451" s="33" t="s">
        <v>14</v>
      </c>
      <c r="E451" s="34" t="s">
        <v>14</v>
      </c>
      <c r="F451" s="35">
        <f t="shared" si="54"/>
        <v>13137.757558445302</v>
      </c>
      <c r="G451" s="35">
        <f t="shared" si="54"/>
        <v>97833</v>
      </c>
      <c r="H451" s="35">
        <f t="shared" si="54"/>
        <v>97833</v>
      </c>
      <c r="I451" s="35">
        <f t="shared" si="54"/>
        <v>30448</v>
      </c>
      <c r="J451" s="35">
        <f t="shared" si="54"/>
        <v>0</v>
      </c>
      <c r="K451" s="35">
        <f t="shared" si="54"/>
        <v>67385</v>
      </c>
      <c r="L451" s="35">
        <f t="shared" si="54"/>
        <v>0</v>
      </c>
      <c r="M451" s="62">
        <v>7.4467046270853379</v>
      </c>
      <c r="N451" s="57">
        <f>H451/M451</f>
        <v>13137.757558445302</v>
      </c>
    </row>
    <row r="452" spans="1:17" s="6" customFormat="1" ht="42" customHeight="1">
      <c r="A452" s="154" t="s">
        <v>134</v>
      </c>
      <c r="B452" s="96" t="s">
        <v>187</v>
      </c>
      <c r="C452" s="73" t="s">
        <v>137</v>
      </c>
      <c r="D452" s="73" t="s">
        <v>63</v>
      </c>
      <c r="E452" s="4">
        <v>21250.446731084845</v>
      </c>
      <c r="F452" s="23" t="s">
        <v>14</v>
      </c>
      <c r="G452" s="23" t="s">
        <v>14</v>
      </c>
      <c r="H452" s="4">
        <f t="shared" ref="H452:H463" si="55">I452+J452+K452+L452</f>
        <v>150000</v>
      </c>
      <c r="I452" s="75">
        <f>SUM(I453:I457)</f>
        <v>0</v>
      </c>
      <c r="J452" s="75">
        <f>SUM(J453:J457)</f>
        <v>0</v>
      </c>
      <c r="K452" s="75">
        <f>SUM(K453:K457)</f>
        <v>150000</v>
      </c>
      <c r="L452" s="75">
        <f>SUM(L453:L457)</f>
        <v>0</v>
      </c>
      <c r="M452" s="20"/>
      <c r="N452" s="30">
        <f>SUM(N453:N457)</f>
        <v>21250.446731084845</v>
      </c>
    </row>
    <row r="453" spans="1:17" s="6" customFormat="1">
      <c r="A453" s="155"/>
      <c r="B453" s="41" t="s">
        <v>2</v>
      </c>
      <c r="C453" s="24" t="s">
        <v>14</v>
      </c>
      <c r="D453" s="24" t="s">
        <v>14</v>
      </c>
      <c r="E453" s="23" t="s">
        <v>14</v>
      </c>
      <c r="F453" s="4">
        <f>G453/M453</f>
        <v>0</v>
      </c>
      <c r="G453" s="4">
        <v>0</v>
      </c>
      <c r="H453" s="4">
        <f t="shared" si="55"/>
        <v>0</v>
      </c>
      <c r="I453" s="4">
        <v>0</v>
      </c>
      <c r="J453" s="4">
        <v>0</v>
      </c>
      <c r="K453" s="4">
        <v>0</v>
      </c>
      <c r="L453" s="4">
        <v>0</v>
      </c>
      <c r="M453" s="20">
        <v>6.0168239999999997</v>
      </c>
      <c r="N453" s="31">
        <f t="shared" si="53"/>
        <v>0</v>
      </c>
    </row>
    <row r="454" spans="1:17" s="6" customFormat="1">
      <c r="A454" s="155"/>
      <c r="B454" s="41" t="s">
        <v>0</v>
      </c>
      <c r="C454" s="24" t="s">
        <v>14</v>
      </c>
      <c r="D454" s="24" t="s">
        <v>14</v>
      </c>
      <c r="E454" s="23" t="s">
        <v>14</v>
      </c>
      <c r="F454" s="4">
        <f>G454/M454</f>
        <v>0</v>
      </c>
      <c r="G454" s="4">
        <v>0</v>
      </c>
      <c r="H454" s="4">
        <f t="shared" si="55"/>
        <v>0</v>
      </c>
      <c r="I454" s="4">
        <v>0</v>
      </c>
      <c r="J454" s="4">
        <v>0</v>
      </c>
      <c r="K454" s="4">
        <v>0</v>
      </c>
      <c r="L454" s="4">
        <v>0</v>
      </c>
      <c r="M454" s="20">
        <v>6.3597829679999993</v>
      </c>
      <c r="N454" s="31">
        <f t="shared" si="53"/>
        <v>0</v>
      </c>
    </row>
    <row r="455" spans="1:17" s="6" customFormat="1">
      <c r="A455" s="155"/>
      <c r="B455" s="41" t="s">
        <v>28</v>
      </c>
      <c r="C455" s="24" t="s">
        <v>14</v>
      </c>
      <c r="D455" s="24" t="s">
        <v>14</v>
      </c>
      <c r="E455" s="23" t="s">
        <v>14</v>
      </c>
      <c r="F455" s="4">
        <f>G455/M455</f>
        <v>22377.334451255439</v>
      </c>
      <c r="G455" s="4">
        <f>H452</f>
        <v>150000</v>
      </c>
      <c r="H455" s="4">
        <f t="shared" si="55"/>
        <v>50000</v>
      </c>
      <c r="I455" s="4">
        <v>0</v>
      </c>
      <c r="J455" s="4">
        <v>0</v>
      </c>
      <c r="K455" s="4">
        <v>50000</v>
      </c>
      <c r="L455" s="4">
        <v>0</v>
      </c>
      <c r="M455" s="21">
        <v>6.7032112482719999</v>
      </c>
      <c r="N455" s="31">
        <f t="shared" si="53"/>
        <v>7459.1114837518135</v>
      </c>
    </row>
    <row r="456" spans="1:17" s="6" customFormat="1">
      <c r="A456" s="155"/>
      <c r="B456" s="41" t="s">
        <v>29</v>
      </c>
      <c r="C456" s="24" t="s">
        <v>14</v>
      </c>
      <c r="D456" s="24" t="s">
        <v>14</v>
      </c>
      <c r="E456" s="23" t="s">
        <v>14</v>
      </c>
      <c r="F456" s="4">
        <f>G456/M456</f>
        <v>14153.911733874407</v>
      </c>
      <c r="G456" s="4">
        <f>G455-H455</f>
        <v>100000</v>
      </c>
      <c r="H456" s="4">
        <f t="shared" si="55"/>
        <v>50000</v>
      </c>
      <c r="I456" s="4">
        <v>0</v>
      </c>
      <c r="J456" s="4">
        <v>0</v>
      </c>
      <c r="K456" s="4">
        <v>50000</v>
      </c>
      <c r="L456" s="4">
        <v>0</v>
      </c>
      <c r="M456" s="21">
        <v>7.0651846556786886</v>
      </c>
      <c r="N456" s="31">
        <f>H456/M456</f>
        <v>7076.9558669372036</v>
      </c>
    </row>
    <row r="457" spans="1:17" s="6" customFormat="1">
      <c r="A457" s="156"/>
      <c r="B457" s="41" t="s">
        <v>30</v>
      </c>
      <c r="C457" s="24" t="s">
        <v>14</v>
      </c>
      <c r="D457" s="24" t="s">
        <v>14</v>
      </c>
      <c r="E457" s="23" t="s">
        <v>14</v>
      </c>
      <c r="F457" s="4">
        <f>G457/M457</f>
        <v>6714.3793803958288</v>
      </c>
      <c r="G457" s="4">
        <f>G456-H456</f>
        <v>50000</v>
      </c>
      <c r="H457" s="4">
        <f t="shared" si="55"/>
        <v>50000</v>
      </c>
      <c r="I457" s="4">
        <v>0</v>
      </c>
      <c r="J457" s="4">
        <v>0</v>
      </c>
      <c r="K457" s="4">
        <v>50000</v>
      </c>
      <c r="L457" s="4">
        <v>0</v>
      </c>
      <c r="M457" s="21">
        <v>7.4467046270853379</v>
      </c>
      <c r="N457" s="31">
        <f>H457/M457</f>
        <v>6714.3793803958288</v>
      </c>
    </row>
    <row r="458" spans="1:17" s="6" customFormat="1" ht="39.75" customHeight="1">
      <c r="A458" s="157" t="s">
        <v>135</v>
      </c>
      <c r="B458" s="120" t="s">
        <v>136</v>
      </c>
      <c r="C458" s="73" t="s">
        <v>138</v>
      </c>
      <c r="D458" s="73" t="s">
        <v>131</v>
      </c>
      <c r="E458" s="4">
        <v>8884.0357329835388</v>
      </c>
      <c r="F458" s="23" t="s">
        <v>14</v>
      </c>
      <c r="G458" s="23" t="s">
        <v>14</v>
      </c>
      <c r="H458" s="4">
        <f t="shared" si="55"/>
        <v>65282.65</v>
      </c>
      <c r="I458" s="75">
        <f>SUM(I459:I463)</f>
        <v>30448</v>
      </c>
      <c r="J458" s="75">
        <f>SUM(J459:J463)</f>
        <v>0</v>
      </c>
      <c r="K458" s="75">
        <f>SUM(K459:K463)</f>
        <v>34834.65</v>
      </c>
      <c r="L458" s="75">
        <f>SUM(L459:L463)</f>
        <v>0</v>
      </c>
      <c r="M458" s="20"/>
      <c r="N458" s="30">
        <f>SUM(N459:N463)</f>
        <v>8894.7806043641885</v>
      </c>
    </row>
    <row r="459" spans="1:17" s="6" customFormat="1">
      <c r="A459" s="157"/>
      <c r="B459" s="41" t="s">
        <v>2</v>
      </c>
      <c r="C459" s="24" t="s">
        <v>14</v>
      </c>
      <c r="D459" s="24" t="s">
        <v>14</v>
      </c>
      <c r="E459" s="23" t="s">
        <v>14</v>
      </c>
      <c r="F459" s="4">
        <f>G459/M459</f>
        <v>10850.018215590153</v>
      </c>
      <c r="G459" s="4">
        <f>H458</f>
        <v>65282.65</v>
      </c>
      <c r="H459" s="4">
        <f t="shared" si="55"/>
        <v>64.650000000000006</v>
      </c>
      <c r="I459" s="84">
        <v>0</v>
      </c>
      <c r="J459" s="84">
        <v>0</v>
      </c>
      <c r="K459" s="84">
        <v>64.650000000000006</v>
      </c>
      <c r="L459" s="84">
        <v>0</v>
      </c>
      <c r="M459" s="20">
        <v>6.0168239999999997</v>
      </c>
      <c r="N459" s="31">
        <f t="shared" si="53"/>
        <v>10.744871380648663</v>
      </c>
    </row>
    <row r="460" spans="1:17" s="6" customFormat="1">
      <c r="A460" s="157"/>
      <c r="B460" s="41" t="s">
        <v>0</v>
      </c>
      <c r="C460" s="24" t="s">
        <v>14</v>
      </c>
      <c r="D460" s="24" t="s">
        <v>14</v>
      </c>
      <c r="E460" s="23" t="s">
        <v>14</v>
      </c>
      <c r="F460" s="4">
        <f>G460/M460</f>
        <v>10254.752454313628</v>
      </c>
      <c r="G460" s="4">
        <f>G459-H459</f>
        <v>65218</v>
      </c>
      <c r="H460" s="4">
        <f t="shared" si="55"/>
        <v>0</v>
      </c>
      <c r="I460" s="84">
        <v>0</v>
      </c>
      <c r="J460" s="84">
        <v>0</v>
      </c>
      <c r="K460" s="84">
        <v>0</v>
      </c>
      <c r="L460" s="84">
        <v>0</v>
      </c>
      <c r="M460" s="20">
        <v>6.3597829679999993</v>
      </c>
      <c r="N460" s="31">
        <f t="shared" si="53"/>
        <v>0</v>
      </c>
    </row>
    <row r="461" spans="1:17" s="6" customFormat="1">
      <c r="A461" s="157"/>
      <c r="B461" s="41" t="s">
        <v>28</v>
      </c>
      <c r="C461" s="24" t="s">
        <v>14</v>
      </c>
      <c r="D461" s="24" t="s">
        <v>14</v>
      </c>
      <c r="E461" s="23" t="s">
        <v>14</v>
      </c>
      <c r="F461" s="4">
        <f>G461/M461</f>
        <v>9729.3666549465142</v>
      </c>
      <c r="G461" s="4">
        <f>G460-H460</f>
        <v>65218</v>
      </c>
      <c r="H461" s="4">
        <f t="shared" si="55"/>
        <v>0</v>
      </c>
      <c r="I461" s="84">
        <v>0</v>
      </c>
      <c r="J461" s="84">
        <v>0</v>
      </c>
      <c r="K461" s="84">
        <v>0</v>
      </c>
      <c r="L461" s="84">
        <v>0</v>
      </c>
      <c r="M461" s="21">
        <v>6.7032112482719999</v>
      </c>
      <c r="N461" s="31">
        <f t="shared" si="53"/>
        <v>0</v>
      </c>
    </row>
    <row r="462" spans="1:17" s="6" customFormat="1">
      <c r="A462" s="157"/>
      <c r="B462" s="41" t="s">
        <v>29</v>
      </c>
      <c r="C462" s="24" t="s">
        <v>14</v>
      </c>
      <c r="D462" s="24" t="s">
        <v>14</v>
      </c>
      <c r="E462" s="23" t="s">
        <v>14</v>
      </c>
      <c r="F462" s="4">
        <f>G462/M462</f>
        <v>9230.8981545982097</v>
      </c>
      <c r="G462" s="4">
        <f>G461-H461</f>
        <v>65218</v>
      </c>
      <c r="H462" s="4">
        <f t="shared" si="55"/>
        <v>17385</v>
      </c>
      <c r="I462" s="84">
        <v>0</v>
      </c>
      <c r="J462" s="84">
        <v>0</v>
      </c>
      <c r="K462" s="84">
        <v>17385</v>
      </c>
      <c r="L462" s="84">
        <v>0</v>
      </c>
      <c r="M462" s="21">
        <v>7.0651846556786886</v>
      </c>
      <c r="N462" s="31">
        <f t="shared" si="53"/>
        <v>2460.6575549340655</v>
      </c>
    </row>
    <row r="463" spans="1:17" s="6" customFormat="1">
      <c r="A463" s="157"/>
      <c r="B463" s="41" t="s">
        <v>30</v>
      </c>
      <c r="C463" s="24" t="s">
        <v>14</v>
      </c>
      <c r="D463" s="24" t="s">
        <v>14</v>
      </c>
      <c r="E463" s="23" t="s">
        <v>14</v>
      </c>
      <c r="F463" s="4">
        <f>G463/M463</f>
        <v>6423.3781780494737</v>
      </c>
      <c r="G463" s="4">
        <f>G462-H462</f>
        <v>47833</v>
      </c>
      <c r="H463" s="4">
        <f t="shared" si="55"/>
        <v>47833</v>
      </c>
      <c r="I463" s="84">
        <v>30448</v>
      </c>
      <c r="J463" s="84">
        <v>0</v>
      </c>
      <c r="K463" s="84">
        <v>17385</v>
      </c>
      <c r="L463" s="84">
        <v>0</v>
      </c>
      <c r="M463" s="21">
        <v>7.4467046270853379</v>
      </c>
      <c r="N463" s="31">
        <f>H463/M463</f>
        <v>6423.3781780494737</v>
      </c>
    </row>
    <row r="464" spans="1:17" s="99" customFormat="1" ht="28.5" customHeight="1">
      <c r="A464" s="148"/>
      <c r="B464" s="121" t="s">
        <v>21</v>
      </c>
      <c r="C464" s="122" t="s">
        <v>14</v>
      </c>
      <c r="D464" s="122" t="s">
        <v>14</v>
      </c>
      <c r="E464" s="122" t="s">
        <v>14</v>
      </c>
      <c r="F464" s="122" t="s">
        <v>14</v>
      </c>
      <c r="G464" s="122" t="s">
        <v>14</v>
      </c>
      <c r="H464" s="123">
        <f t="shared" ref="H464:L469" si="56">H8+H15+H27+H33+H45+H63+H82+H226+H278+H314+H332+H446+H75</f>
        <v>15041967.970940938</v>
      </c>
      <c r="I464" s="123">
        <f t="shared" si="56"/>
        <v>5902128.1600000001</v>
      </c>
      <c r="J464" s="123">
        <f t="shared" si="56"/>
        <v>2581520.2599999998</v>
      </c>
      <c r="K464" s="123">
        <f t="shared" si="56"/>
        <v>2058778.2949409373</v>
      </c>
      <c r="L464" s="123">
        <f t="shared" si="56"/>
        <v>4499541.2560000001</v>
      </c>
      <c r="M464" s="97"/>
      <c r="N464" s="98"/>
      <c r="P464" s="100">
        <f t="shared" ref="P464:P469" si="57">L464+K464+J464+I464</f>
        <v>15041967.970940936</v>
      </c>
      <c r="Q464" s="100">
        <f t="shared" ref="Q464:Q469" si="58">H464-P464</f>
        <v>0</v>
      </c>
    </row>
    <row r="465" spans="1:17" s="99" customFormat="1" ht="28.5" customHeight="1">
      <c r="A465" s="149"/>
      <c r="B465" s="121" t="s">
        <v>19</v>
      </c>
      <c r="C465" s="122" t="s">
        <v>14</v>
      </c>
      <c r="D465" s="122" t="s">
        <v>14</v>
      </c>
      <c r="E465" s="122" t="s">
        <v>14</v>
      </c>
      <c r="F465" s="123">
        <f t="shared" ref="F465:G469" si="59">F9+F16+F28+F34+F46+F64+F83+F227+F279+F315+F333+F447+F76</f>
        <v>242156.0912362996</v>
      </c>
      <c r="G465" s="123">
        <f t="shared" si="59"/>
        <v>1405242.6410000001</v>
      </c>
      <c r="H465" s="123">
        <f t="shared" si="56"/>
        <v>268111.86</v>
      </c>
      <c r="I465" s="123">
        <f t="shared" si="56"/>
        <v>141960.16</v>
      </c>
      <c r="J465" s="123">
        <f t="shared" si="56"/>
        <v>83618.5</v>
      </c>
      <c r="K465" s="123">
        <f t="shared" si="56"/>
        <v>42533.200000000004</v>
      </c>
      <c r="L465" s="123">
        <f t="shared" si="56"/>
        <v>0</v>
      </c>
      <c r="M465" s="97">
        <v>6.0168239999999997</v>
      </c>
      <c r="N465" s="100">
        <f>I465+J465+K465+L465</f>
        <v>268111.86</v>
      </c>
      <c r="O465" s="100">
        <f>H465-N465</f>
        <v>0</v>
      </c>
      <c r="P465" s="100">
        <f t="shared" si="57"/>
        <v>268111.86</v>
      </c>
      <c r="Q465" s="100">
        <f t="shared" si="58"/>
        <v>0</v>
      </c>
    </row>
    <row r="466" spans="1:17" s="99" customFormat="1" ht="28.5" customHeight="1">
      <c r="A466" s="149"/>
      <c r="B466" s="121" t="s">
        <v>20</v>
      </c>
      <c r="C466" s="122" t="s">
        <v>14</v>
      </c>
      <c r="D466" s="122" t="s">
        <v>14</v>
      </c>
      <c r="E466" s="122" t="s">
        <v>14</v>
      </c>
      <c r="F466" s="123">
        <f t="shared" si="59"/>
        <v>462928.25812895747</v>
      </c>
      <c r="G466" s="123">
        <f t="shared" si="59"/>
        <v>2857290.4724709373</v>
      </c>
      <c r="H466" s="123">
        <f t="shared" si="56"/>
        <v>2047574.5353299999</v>
      </c>
      <c r="I466" s="123">
        <f t="shared" si="56"/>
        <v>1476305</v>
      </c>
      <c r="J466" s="123">
        <f t="shared" si="56"/>
        <v>523880.8</v>
      </c>
      <c r="K466" s="123">
        <f t="shared" si="56"/>
        <v>47388.735329999996</v>
      </c>
      <c r="L466" s="123">
        <f t="shared" si="56"/>
        <v>0</v>
      </c>
      <c r="M466" s="97">
        <v>6.3597829679999993</v>
      </c>
      <c r="N466" s="100">
        <f>I466+J466+K466+L466</f>
        <v>2047574.5353300001</v>
      </c>
      <c r="O466" s="100">
        <f>H466-N466</f>
        <v>0</v>
      </c>
      <c r="P466" s="100">
        <f t="shared" si="57"/>
        <v>2047574.5353299999</v>
      </c>
      <c r="Q466" s="100">
        <f t="shared" si="58"/>
        <v>0</v>
      </c>
    </row>
    <row r="467" spans="1:17" s="99" customFormat="1" ht="28.5" customHeight="1">
      <c r="A467" s="149"/>
      <c r="B467" s="121" t="s">
        <v>139</v>
      </c>
      <c r="C467" s="122" t="s">
        <v>14</v>
      </c>
      <c r="D467" s="122" t="s">
        <v>14</v>
      </c>
      <c r="E467" s="122" t="s">
        <v>14</v>
      </c>
      <c r="F467" s="123">
        <f t="shared" si="59"/>
        <v>1111440.3833845574</v>
      </c>
      <c r="G467" s="123">
        <f t="shared" si="59"/>
        <v>7526980.7880462985</v>
      </c>
      <c r="H467" s="123">
        <f t="shared" si="56"/>
        <v>3839751.4816300003</v>
      </c>
      <c r="I467" s="123">
        <f t="shared" si="56"/>
        <v>1464305</v>
      </c>
      <c r="J467" s="123">
        <f t="shared" si="56"/>
        <v>450000</v>
      </c>
      <c r="K467" s="123">
        <f t="shared" si="56"/>
        <v>436046.48162999999</v>
      </c>
      <c r="L467" s="123">
        <f t="shared" si="56"/>
        <v>1489400</v>
      </c>
      <c r="M467" s="101">
        <v>6.7032112482719999</v>
      </c>
      <c r="N467" s="100">
        <f>I467+J467+K467+L467</f>
        <v>3839751.4816299998</v>
      </c>
      <c r="O467" s="100">
        <f>H467-N467</f>
        <v>0</v>
      </c>
      <c r="P467" s="100">
        <f t="shared" si="57"/>
        <v>3839751.4816300003</v>
      </c>
      <c r="Q467" s="100">
        <f t="shared" si="58"/>
        <v>0</v>
      </c>
    </row>
    <row r="468" spans="1:17" s="99" customFormat="1" ht="28.5" customHeight="1">
      <c r="A468" s="149"/>
      <c r="B468" s="121" t="s">
        <v>140</v>
      </c>
      <c r="C468" s="122" t="s">
        <v>14</v>
      </c>
      <c r="D468" s="122" t="s">
        <v>14</v>
      </c>
      <c r="E468" s="122" t="s">
        <v>14</v>
      </c>
      <c r="F468" s="123">
        <f t="shared" si="59"/>
        <v>861612.10616381688</v>
      </c>
      <c r="G468" s="123">
        <f t="shared" si="59"/>
        <v>6079470.7204726944</v>
      </c>
      <c r="H468" s="123">
        <f t="shared" si="56"/>
        <v>5139675.4613509374</v>
      </c>
      <c r="I468" s="123">
        <f t="shared" si="56"/>
        <v>1441510</v>
      </c>
      <c r="J468" s="123">
        <f t="shared" si="56"/>
        <v>860860.48</v>
      </c>
      <c r="K468" s="123">
        <f t="shared" si="56"/>
        <v>1039232.3533509373</v>
      </c>
      <c r="L468" s="123">
        <f t="shared" si="56"/>
        <v>1798072.628</v>
      </c>
      <c r="M468" s="101">
        <v>7.0651846556786886</v>
      </c>
      <c r="N468" s="100">
        <f>I468+J468+K468+L468</f>
        <v>5139675.4613509374</v>
      </c>
      <c r="O468" s="100">
        <f>H468-N468</f>
        <v>0</v>
      </c>
      <c r="P468" s="100">
        <f t="shared" si="57"/>
        <v>5139675.4613509374</v>
      </c>
      <c r="Q468" s="100">
        <f t="shared" si="58"/>
        <v>0</v>
      </c>
    </row>
    <row r="469" spans="1:17" s="99" customFormat="1" ht="28.5" customHeight="1">
      <c r="A469" s="149"/>
      <c r="B469" s="121" t="s">
        <v>141</v>
      </c>
      <c r="C469" s="122" t="s">
        <v>14</v>
      </c>
      <c r="D469" s="122" t="s">
        <v>14</v>
      </c>
      <c r="E469" s="122" t="s">
        <v>14</v>
      </c>
      <c r="F469" s="123">
        <f t="shared" si="59"/>
        <v>379021.88245681976</v>
      </c>
      <c r="G469" s="123">
        <f t="shared" si="59"/>
        <v>2786795.2493000003</v>
      </c>
      <c r="H469" s="123">
        <f t="shared" si="56"/>
        <v>3637439.3306800001</v>
      </c>
      <c r="I469" s="123">
        <f t="shared" si="56"/>
        <v>1378048</v>
      </c>
      <c r="J469" s="123">
        <f t="shared" si="56"/>
        <v>663160.48</v>
      </c>
      <c r="K469" s="123">
        <f t="shared" si="56"/>
        <v>384162.22268000001</v>
      </c>
      <c r="L469" s="123">
        <f t="shared" si="56"/>
        <v>1212068.628</v>
      </c>
      <c r="M469" s="101">
        <v>7.4467046270853379</v>
      </c>
      <c r="N469" s="100">
        <f>I469+J469+K469+L469</f>
        <v>3637439.3306800001</v>
      </c>
      <c r="O469" s="100">
        <f>H469-N469</f>
        <v>0</v>
      </c>
      <c r="P469" s="100">
        <f t="shared" si="57"/>
        <v>3637439.3306800001</v>
      </c>
      <c r="Q469" s="100">
        <f t="shared" si="58"/>
        <v>0</v>
      </c>
    </row>
    <row r="470" spans="1:17" s="99" customFormat="1" ht="28.5" customHeight="1">
      <c r="A470" s="149"/>
      <c r="B470" s="121" t="s">
        <v>249</v>
      </c>
      <c r="C470" s="122" t="s">
        <v>14</v>
      </c>
      <c r="D470" s="122" t="s">
        <v>14</v>
      </c>
      <c r="E470" s="122" t="s">
        <v>14</v>
      </c>
      <c r="F470" s="123">
        <f>F88+F232</f>
        <v>35628.618734002666</v>
      </c>
      <c r="G470" s="123">
        <f t="shared" ref="G470:L470" si="60">G88+G232</f>
        <v>243610.88347</v>
      </c>
      <c r="H470" s="123">
        <f t="shared" si="60"/>
        <v>56965.408719999992</v>
      </c>
      <c r="I470" s="123">
        <f t="shared" si="60"/>
        <v>0</v>
      </c>
      <c r="J470" s="123">
        <f t="shared" si="60"/>
        <v>0</v>
      </c>
      <c r="K470" s="123">
        <f t="shared" si="60"/>
        <v>56965.408719999992</v>
      </c>
      <c r="L470" s="123">
        <f t="shared" si="60"/>
        <v>0</v>
      </c>
      <c r="M470" s="101"/>
      <c r="N470" s="100">
        <f t="shared" ref="N470:N471" si="61">I470+J470+K470+L470</f>
        <v>56965.408719999992</v>
      </c>
      <c r="O470" s="100">
        <f t="shared" ref="O470" si="62">H470-N470</f>
        <v>0</v>
      </c>
      <c r="P470" s="100"/>
      <c r="Q470" s="100"/>
    </row>
    <row r="471" spans="1:17" s="99" customFormat="1" ht="28.5" customHeight="1">
      <c r="A471" s="150"/>
      <c r="B471" s="121" t="s">
        <v>250</v>
      </c>
      <c r="C471" s="122" t="s">
        <v>14</v>
      </c>
      <c r="D471" s="122" t="s">
        <v>14</v>
      </c>
      <c r="E471" s="122" t="s">
        <v>14</v>
      </c>
      <c r="F471" s="123">
        <f>F89+F233</f>
        <v>26062.472664929406</v>
      </c>
      <c r="G471" s="123">
        <f t="shared" ref="G471:L471" si="63">G89+G233</f>
        <v>188800.85975000003</v>
      </c>
      <c r="H471" s="123">
        <f t="shared" si="63"/>
        <v>52449.893230000001</v>
      </c>
      <c r="I471" s="123">
        <f t="shared" si="63"/>
        <v>0</v>
      </c>
      <c r="J471" s="123">
        <f t="shared" si="63"/>
        <v>0</v>
      </c>
      <c r="K471" s="123">
        <f t="shared" si="63"/>
        <v>52449.893230000001</v>
      </c>
      <c r="L471" s="123">
        <f t="shared" si="63"/>
        <v>0</v>
      </c>
      <c r="M471" s="101"/>
      <c r="N471" s="100">
        <f t="shared" si="61"/>
        <v>52449.893230000001</v>
      </c>
      <c r="O471" s="100">
        <f>H471-N471</f>
        <v>0</v>
      </c>
      <c r="P471" s="100"/>
      <c r="Q471" s="100"/>
    </row>
    <row r="472" spans="1:17" s="6" customFormat="1">
      <c r="A472" s="5" t="s">
        <v>211</v>
      </c>
      <c r="N472" s="7"/>
    </row>
    <row r="473" spans="1:17">
      <c r="H473" s="3">
        <f>H469+H468+H467+H466+H465+H470+H471</f>
        <v>15041967.970940938</v>
      </c>
      <c r="I473" s="3">
        <f t="shared" ref="I473:L473" si="64">I469+I468+I467+I466+I465+I470+I471</f>
        <v>5902128.1600000001</v>
      </c>
      <c r="J473" s="3">
        <f t="shared" si="64"/>
        <v>2581520.2599999998</v>
      </c>
      <c r="K473" s="3">
        <f t="shared" si="64"/>
        <v>2058778.2949409373</v>
      </c>
      <c r="L473" s="3">
        <f t="shared" si="64"/>
        <v>4499541.2560000001</v>
      </c>
    </row>
    <row r="474" spans="1:17">
      <c r="H474" s="3">
        <f>H464-H473</f>
        <v>0</v>
      </c>
      <c r="I474" s="3">
        <f>I464-I473</f>
        <v>0</v>
      </c>
      <c r="J474" s="3">
        <f>J464-J473</f>
        <v>0</v>
      </c>
      <c r="K474" s="3">
        <f>K464-K473</f>
        <v>0</v>
      </c>
      <c r="L474" s="3">
        <f>L464-L473</f>
        <v>0</v>
      </c>
    </row>
  </sheetData>
  <mergeCells count="90">
    <mergeCell ref="J1:L1"/>
    <mergeCell ref="A446:A451"/>
    <mergeCell ref="A452:A457"/>
    <mergeCell ref="A458:A463"/>
    <mergeCell ref="A410:A415"/>
    <mergeCell ref="A416:A421"/>
    <mergeCell ref="A422:A427"/>
    <mergeCell ref="A428:A433"/>
    <mergeCell ref="A434:A439"/>
    <mergeCell ref="A440:A445"/>
    <mergeCell ref="A350:A355"/>
    <mergeCell ref="A356:A361"/>
    <mergeCell ref="A362:A367"/>
    <mergeCell ref="A368:A373"/>
    <mergeCell ref="A374:A379"/>
    <mergeCell ref="A320:A325"/>
    <mergeCell ref="A464:A471"/>
    <mergeCell ref="A380:A385"/>
    <mergeCell ref="A386:A391"/>
    <mergeCell ref="A392:A397"/>
    <mergeCell ref="A398:A403"/>
    <mergeCell ref="A404:A409"/>
    <mergeCell ref="A326:A331"/>
    <mergeCell ref="A332:A337"/>
    <mergeCell ref="A338:A343"/>
    <mergeCell ref="A344:A349"/>
    <mergeCell ref="A290:A295"/>
    <mergeCell ref="A296:A301"/>
    <mergeCell ref="A302:A307"/>
    <mergeCell ref="A308:A313"/>
    <mergeCell ref="A314:A319"/>
    <mergeCell ref="A260:A265"/>
    <mergeCell ref="A266:A271"/>
    <mergeCell ref="A272:A277"/>
    <mergeCell ref="A278:A283"/>
    <mergeCell ref="A284:A289"/>
    <mergeCell ref="A234:A239"/>
    <mergeCell ref="A240:A245"/>
    <mergeCell ref="A246:A251"/>
    <mergeCell ref="A252:A259"/>
    <mergeCell ref="A226:A233"/>
    <mergeCell ref="A192:A197"/>
    <mergeCell ref="A198:A203"/>
    <mergeCell ref="A204:A209"/>
    <mergeCell ref="A210:A217"/>
    <mergeCell ref="A218:A225"/>
    <mergeCell ref="A162:A167"/>
    <mergeCell ref="A168:A173"/>
    <mergeCell ref="A174:A179"/>
    <mergeCell ref="A180:A185"/>
    <mergeCell ref="A186:A191"/>
    <mergeCell ref="A132:A137"/>
    <mergeCell ref="A138:A143"/>
    <mergeCell ref="A144:A149"/>
    <mergeCell ref="A150:A155"/>
    <mergeCell ref="A156:A161"/>
    <mergeCell ref="A102:A107"/>
    <mergeCell ref="A108:A113"/>
    <mergeCell ref="A114:A119"/>
    <mergeCell ref="A120:A125"/>
    <mergeCell ref="A126:A131"/>
    <mergeCell ref="A75:A80"/>
    <mergeCell ref="A81:L81"/>
    <mergeCell ref="A90:A95"/>
    <mergeCell ref="A96:A101"/>
    <mergeCell ref="A82:A89"/>
    <mergeCell ref="A57:A62"/>
    <mergeCell ref="A63:A68"/>
    <mergeCell ref="A69:A74"/>
    <mergeCell ref="A27:A32"/>
    <mergeCell ref="A33:A38"/>
    <mergeCell ref="A39:A44"/>
    <mergeCell ref="A45:A50"/>
    <mergeCell ref="A51:A56"/>
    <mergeCell ref="A7:L7"/>
    <mergeCell ref="A8:A13"/>
    <mergeCell ref="A14:L14"/>
    <mergeCell ref="A15:A20"/>
    <mergeCell ref="A21:A26"/>
    <mergeCell ref="J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L4"/>
  </mergeCells>
  <pageMargins left="0.28000000000000003" right="0.19685039370078741" top="0.9055118110236221" bottom="0.39370078740157483" header="0.51181102362204722" footer="0.23622047244094491"/>
  <pageSetup paperSize="9" scale="84" fitToHeight="6" orientation="landscape" r:id="rId1"/>
  <headerFooter differentFirst="1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приложение_5</vt:lpstr>
      <vt:lpstr>приложение_5!Заголовки_для_печати</vt:lpstr>
      <vt:lpstr>приложение_5!Область_печати</vt:lpstr>
    </vt:vector>
  </TitlesOfParts>
  <Company>Adm26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Sharanova</dc:creator>
  <cp:lastModifiedBy>Shakirov</cp:lastModifiedBy>
  <cp:lastPrinted>2017-11-23T04:20:20Z</cp:lastPrinted>
  <dcterms:created xsi:type="dcterms:W3CDTF">2007-01-18T07:59:15Z</dcterms:created>
  <dcterms:modified xsi:type="dcterms:W3CDTF">2017-11-23T04:20:28Z</dcterms:modified>
</cp:coreProperties>
</file>